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e082908\Desktop\2025 Drupal site documents\Grantee Reporting Forms\Adult MH\"/>
    </mc:Choice>
  </mc:AlternateContent>
  <xr:revisionPtr revIDLastSave="0" documentId="13_ncr:1_{20ACA98C-8905-411E-8F55-A39CD577D6FB}" xr6:coauthVersionLast="47" xr6:coauthVersionMax="47" xr10:uidLastSave="{00000000-0000-0000-0000-000000000000}"/>
  <workbookProtection workbookAlgorithmName="SHA-512" workbookHashValue="pPjwLAcb6giN64CtT0gDAGubI0GaaD9BziOaYeqGOdF2lXyBN3Lle+Rg774kb7Ot3pxpk9Yju8OgqUqUwJcoEw==" workbookSaltValue="9zpe/W2KodhgQlgZC1WGtQ==" workbookSpinCount="100000" lockStructure="1"/>
  <bookViews>
    <workbookView xWindow="-120" yWindow="-120" windowWidth="24240" windowHeight="13020" xr2:uid="{00000000-000D-0000-FFFF-FFFF00000000}"/>
  </bookViews>
  <sheets>
    <sheet name="INSTRUCTIONS" sheetId="18" r:id="rId1"/>
    <sheet name="BUSINESS CONTACTS" sheetId="4" r:id="rId2"/>
    <sheet name="PRESENTATIONS" sheetId="5" r:id="rId3"/>
    <sheet name="CLIENT ENROLLMENT DISCHARGE " sheetId="3" r:id="rId4"/>
    <sheet name="JULY" sheetId="1" r:id="rId5"/>
    <sheet name="AUG" sheetId="7" r:id="rId6"/>
    <sheet name="SEPT" sheetId="8" r:id="rId7"/>
    <sheet name="OCT" sheetId="9" r:id="rId8"/>
    <sheet name="NOV" sheetId="10" r:id="rId9"/>
    <sheet name="DEC" sheetId="11" r:id="rId10"/>
    <sheet name="JAN" sheetId="12" r:id="rId11"/>
    <sheet name="FEB" sheetId="13" r:id="rId12"/>
    <sheet name="MAR" sheetId="14" r:id="rId13"/>
    <sheet name="APR" sheetId="15" r:id="rId14"/>
    <sheet name="MAY" sheetId="16" r:id="rId15"/>
    <sheet name="JUNE" sheetId="17" r:id="rId16"/>
    <sheet name="SUMMARY" sheetId="19" r:id="rId17"/>
    <sheet name="drop down list " sheetId="2" state="hidden" r:id="rId18"/>
    <sheet name="SUMMARY OLD" sheetId="6" r:id="rId19"/>
  </sheets>
  <externalReferences>
    <externalReference r:id="rId20"/>
    <externalReference r:id="rId2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8" l="1"/>
  <c r="C514" i="10"/>
  <c r="C513" i="10"/>
  <c r="C512" i="10"/>
  <c r="C511" i="10"/>
  <c r="C510" i="10"/>
  <c r="C509" i="10"/>
  <c r="C508" i="10"/>
  <c r="C507" i="10"/>
  <c r="C506" i="10"/>
  <c r="C505" i="10"/>
  <c r="C504" i="10"/>
  <c r="C503" i="10"/>
  <c r="C502" i="10"/>
  <c r="C501" i="10"/>
  <c r="C500" i="10"/>
  <c r="C499" i="10"/>
  <c r="C498" i="10"/>
  <c r="C497" i="10"/>
  <c r="C496" i="10"/>
  <c r="C495" i="10"/>
  <c r="C494" i="10"/>
  <c r="C493" i="10"/>
  <c r="C492" i="10"/>
  <c r="C491" i="10"/>
  <c r="C490" i="10"/>
  <c r="C489" i="10"/>
  <c r="C488" i="10"/>
  <c r="C487" i="10"/>
  <c r="C486" i="10"/>
  <c r="C485" i="10"/>
  <c r="C484" i="10"/>
  <c r="C483" i="10"/>
  <c r="C482" i="10"/>
  <c r="C481" i="10"/>
  <c r="C480" i="10"/>
  <c r="C479" i="10"/>
  <c r="C478" i="10"/>
  <c r="C477" i="10"/>
  <c r="C476" i="10"/>
  <c r="C475" i="10"/>
  <c r="C474" i="10"/>
  <c r="C473" i="10"/>
  <c r="C472" i="10"/>
  <c r="C471" i="10"/>
  <c r="C470" i="10"/>
  <c r="C469" i="10"/>
  <c r="C468" i="10"/>
  <c r="C467" i="10"/>
  <c r="C466" i="10"/>
  <c r="C465" i="10"/>
  <c r="C464" i="10"/>
  <c r="C463" i="10"/>
  <c r="C462" i="10"/>
  <c r="C461" i="10"/>
  <c r="C460" i="10"/>
  <c r="C459" i="10"/>
  <c r="C458" i="10"/>
  <c r="C457" i="10"/>
  <c r="C456" i="10"/>
  <c r="C455" i="10"/>
  <c r="C454" i="10"/>
  <c r="C453" i="10"/>
  <c r="C452" i="10"/>
  <c r="C451" i="10"/>
  <c r="C450" i="10"/>
  <c r="C449" i="10"/>
  <c r="C448" i="10"/>
  <c r="C447" i="10"/>
  <c r="C446" i="10"/>
  <c r="C445" i="10"/>
  <c r="C444" i="10"/>
  <c r="C443" i="10"/>
  <c r="C442" i="10"/>
  <c r="C441" i="10"/>
  <c r="C440" i="10"/>
  <c r="C439" i="10"/>
  <c r="C438" i="10"/>
  <c r="C437" i="10"/>
  <c r="C436" i="10"/>
  <c r="C435" i="10"/>
  <c r="C434" i="10"/>
  <c r="C433" i="10"/>
  <c r="C432" i="10"/>
  <c r="C431" i="10"/>
  <c r="C430" i="10"/>
  <c r="C429" i="10"/>
  <c r="C428" i="10"/>
  <c r="C427" i="10"/>
  <c r="C426" i="10"/>
  <c r="C425" i="10"/>
  <c r="C424" i="10"/>
  <c r="C423" i="10"/>
  <c r="C422" i="10"/>
  <c r="C421" i="10"/>
  <c r="C420" i="10"/>
  <c r="C419" i="10"/>
  <c r="C418" i="10"/>
  <c r="C417" i="10"/>
  <c r="C416" i="10"/>
  <c r="C415" i="10"/>
  <c r="C414" i="10"/>
  <c r="C413" i="10"/>
  <c r="C412" i="10"/>
  <c r="C411" i="10"/>
  <c r="C410" i="10"/>
  <c r="C409" i="10"/>
  <c r="C408" i="10"/>
  <c r="C407" i="10"/>
  <c r="C406" i="10"/>
  <c r="C405" i="10"/>
  <c r="C404" i="10"/>
  <c r="C403" i="10"/>
  <c r="C402" i="10"/>
  <c r="C401" i="10"/>
  <c r="C400" i="10"/>
  <c r="C399" i="10"/>
  <c r="C398" i="10"/>
  <c r="C397" i="10"/>
  <c r="C396" i="10"/>
  <c r="C395" i="10"/>
  <c r="C394" i="10"/>
  <c r="C393" i="10"/>
  <c r="C392" i="10"/>
  <c r="C391" i="10"/>
  <c r="C390" i="10"/>
  <c r="C389" i="10"/>
  <c r="C388" i="10"/>
  <c r="C387" i="10"/>
  <c r="C386" i="10"/>
  <c r="C385" i="10"/>
  <c r="C384" i="10"/>
  <c r="C383" i="10"/>
  <c r="C382" i="10"/>
  <c r="C381" i="10"/>
  <c r="C380" i="10"/>
  <c r="C379" i="10"/>
  <c r="C378" i="10"/>
  <c r="C377" i="10"/>
  <c r="C376" i="10"/>
  <c r="C375" i="10"/>
  <c r="C374" i="10"/>
  <c r="C373" i="10"/>
  <c r="C372" i="10"/>
  <c r="C371" i="10"/>
  <c r="C370" i="10"/>
  <c r="C369" i="10"/>
  <c r="C368" i="10"/>
  <c r="C367" i="10"/>
  <c r="C366" i="10"/>
  <c r="C365" i="10"/>
  <c r="C364" i="10"/>
  <c r="C363" i="10"/>
  <c r="C362" i="10"/>
  <c r="C361" i="10"/>
  <c r="C360" i="10"/>
  <c r="C359" i="10"/>
  <c r="C358" i="10"/>
  <c r="C357" i="10"/>
  <c r="C356" i="10"/>
  <c r="C355" i="10"/>
  <c r="C354" i="10"/>
  <c r="C353" i="10"/>
  <c r="C352" i="10"/>
  <c r="C351" i="10"/>
  <c r="C350" i="10"/>
  <c r="C349" i="10"/>
  <c r="C348" i="10"/>
  <c r="C347" i="10"/>
  <c r="C346" i="10"/>
  <c r="C345" i="10"/>
  <c r="C344" i="10"/>
  <c r="C343" i="10"/>
  <c r="C342" i="10"/>
  <c r="C341" i="10"/>
  <c r="C340" i="10"/>
  <c r="C339" i="10"/>
  <c r="C338" i="10"/>
  <c r="C337" i="10"/>
  <c r="C336" i="10"/>
  <c r="C335" i="10"/>
  <c r="C334" i="10"/>
  <c r="C333" i="10"/>
  <c r="C332" i="10"/>
  <c r="C331" i="10"/>
  <c r="C330" i="10"/>
  <c r="C329" i="10"/>
  <c r="C328" i="10"/>
  <c r="C327" i="10"/>
  <c r="C326" i="10"/>
  <c r="C325" i="10"/>
  <c r="C324" i="10"/>
  <c r="C323" i="10"/>
  <c r="C322" i="10"/>
  <c r="C321" i="10"/>
  <c r="C320" i="10"/>
  <c r="C319" i="10"/>
  <c r="C318" i="10"/>
  <c r="C317" i="10"/>
  <c r="C316" i="10"/>
  <c r="C315" i="10"/>
  <c r="C314" i="10"/>
  <c r="C313" i="10"/>
  <c r="C312" i="10"/>
  <c r="C311" i="10"/>
  <c r="C310" i="10"/>
  <c r="C309" i="10"/>
  <c r="C308" i="10"/>
  <c r="C307" i="10"/>
  <c r="C306" i="10"/>
  <c r="C305" i="10"/>
  <c r="C304" i="10"/>
  <c r="C303" i="10"/>
  <c r="C302" i="10"/>
  <c r="C301" i="10"/>
  <c r="C300" i="10"/>
  <c r="C299" i="10"/>
  <c r="C298" i="10"/>
  <c r="C297" i="10"/>
  <c r="C296" i="10"/>
  <c r="C295" i="10"/>
  <c r="C294" i="10"/>
  <c r="C293" i="10"/>
  <c r="C292" i="10"/>
  <c r="C291" i="10"/>
  <c r="C290" i="10"/>
  <c r="C289" i="10"/>
  <c r="C288" i="10"/>
  <c r="C287" i="10"/>
  <c r="C286" i="10"/>
  <c r="C285" i="10"/>
  <c r="C284" i="10"/>
  <c r="C283" i="10"/>
  <c r="C282" i="10"/>
  <c r="C281" i="10"/>
  <c r="C280" i="10"/>
  <c r="C279" i="10"/>
  <c r="C278" i="10"/>
  <c r="C277" i="10"/>
  <c r="C276" i="10"/>
  <c r="C275" i="10"/>
  <c r="C274" i="10"/>
  <c r="C273" i="10"/>
  <c r="C272" i="10"/>
  <c r="C271" i="10"/>
  <c r="C270" i="10"/>
  <c r="C269" i="10"/>
  <c r="C268" i="10"/>
  <c r="C267" i="10"/>
  <c r="C266" i="10"/>
  <c r="C265" i="10"/>
  <c r="C264" i="10"/>
  <c r="C263" i="10"/>
  <c r="C262" i="10"/>
  <c r="C261" i="10"/>
  <c r="C260" i="10"/>
  <c r="C259" i="10"/>
  <c r="C258" i="10"/>
  <c r="C257" i="10"/>
  <c r="C256" i="10"/>
  <c r="C255" i="10"/>
  <c r="C254" i="10"/>
  <c r="C253" i="10"/>
  <c r="C252" i="10"/>
  <c r="C251" i="10"/>
  <c r="C250" i="10"/>
  <c r="C249" i="10"/>
  <c r="C248" i="10"/>
  <c r="C247" i="10"/>
  <c r="C246" i="10"/>
  <c r="C245" i="10"/>
  <c r="C244" i="10"/>
  <c r="C243" i="10"/>
  <c r="C242" i="10"/>
  <c r="C241" i="10"/>
  <c r="C240" i="10"/>
  <c r="C239" i="10"/>
  <c r="C238" i="10"/>
  <c r="C237" i="10"/>
  <c r="C236" i="10"/>
  <c r="C235" i="10"/>
  <c r="C234" i="10"/>
  <c r="C233" i="10"/>
  <c r="C232" i="10"/>
  <c r="C231" i="10"/>
  <c r="C230" i="10"/>
  <c r="C229" i="10"/>
  <c r="C228" i="10"/>
  <c r="C227" i="10"/>
  <c r="C226" i="10"/>
  <c r="C225" i="10"/>
  <c r="C224" i="10"/>
  <c r="C223" i="10"/>
  <c r="C222" i="10"/>
  <c r="C221" i="10"/>
  <c r="C220" i="10"/>
  <c r="C219" i="10"/>
  <c r="C218" i="10"/>
  <c r="C217" i="10"/>
  <c r="C216" i="10"/>
  <c r="C215" i="10"/>
  <c r="C214" i="10"/>
  <c r="C213" i="10"/>
  <c r="C212" i="10"/>
  <c r="C211" i="10"/>
  <c r="C210" i="10"/>
  <c r="C209" i="10"/>
  <c r="C208" i="10"/>
  <c r="C207" i="10"/>
  <c r="C206" i="10"/>
  <c r="C205" i="10"/>
  <c r="C204" i="10"/>
  <c r="C203" i="10"/>
  <c r="C202" i="10"/>
  <c r="C201" i="10"/>
  <c r="C200" i="10"/>
  <c r="C199" i="10"/>
  <c r="C198" i="10"/>
  <c r="C197" i="10"/>
  <c r="C196" i="10"/>
  <c r="C195" i="10"/>
  <c r="C194" i="10"/>
  <c r="C193" i="10"/>
  <c r="C192" i="10"/>
  <c r="C191" i="10"/>
  <c r="C190" i="10"/>
  <c r="C189" i="10"/>
  <c r="C188" i="10"/>
  <c r="C187" i="10"/>
  <c r="C186" i="10"/>
  <c r="C185" i="10"/>
  <c r="C184" i="10"/>
  <c r="C183" i="10"/>
  <c r="C182" i="10"/>
  <c r="C181" i="10"/>
  <c r="C180" i="10"/>
  <c r="C179" i="10"/>
  <c r="C178" i="10"/>
  <c r="C177" i="10"/>
  <c r="C176" i="10"/>
  <c r="C175" i="10"/>
  <c r="C174" i="10"/>
  <c r="C173" i="10"/>
  <c r="C172" i="10"/>
  <c r="C171" i="10"/>
  <c r="C170" i="10"/>
  <c r="C169" i="10"/>
  <c r="C168" i="10"/>
  <c r="C167" i="10"/>
  <c r="C166" i="10"/>
  <c r="C165" i="10"/>
  <c r="C164" i="10"/>
  <c r="C163" i="10"/>
  <c r="C162" i="10"/>
  <c r="C161" i="10"/>
  <c r="C160" i="10"/>
  <c r="C159" i="10"/>
  <c r="C158" i="10"/>
  <c r="C157" i="10"/>
  <c r="C156" i="10"/>
  <c r="C155" i="10"/>
  <c r="C154" i="10"/>
  <c r="C153" i="10"/>
  <c r="C152" i="10"/>
  <c r="C151" i="10"/>
  <c r="C150" i="10"/>
  <c r="C149" i="10"/>
  <c r="C148" i="10"/>
  <c r="C147" i="10"/>
  <c r="C146" i="10"/>
  <c r="C145" i="10"/>
  <c r="C144" i="10"/>
  <c r="C143" i="10"/>
  <c r="C142" i="10"/>
  <c r="C141" i="10"/>
  <c r="C140" i="10"/>
  <c r="C139" i="10"/>
  <c r="C138" i="10"/>
  <c r="C137" i="10"/>
  <c r="C136" i="10"/>
  <c r="C135" i="10"/>
  <c r="C134" i="10"/>
  <c r="C133" i="10"/>
  <c r="C132" i="10"/>
  <c r="C131" i="10"/>
  <c r="C130" i="10"/>
  <c r="C129" i="10"/>
  <c r="C128" i="10"/>
  <c r="C127" i="10"/>
  <c r="C126" i="10"/>
  <c r="C125" i="10"/>
  <c r="C124" i="10"/>
  <c r="C123" i="10"/>
  <c r="C122" i="10"/>
  <c r="C121" i="10"/>
  <c r="C120" i="10"/>
  <c r="C119" i="10"/>
  <c r="C118" i="10"/>
  <c r="C117" i="10"/>
  <c r="C116" i="10"/>
  <c r="C115" i="10"/>
  <c r="C114" i="10"/>
  <c r="C113" i="10"/>
  <c r="C112" i="10"/>
  <c r="C111" i="10"/>
  <c r="C110" i="10"/>
  <c r="C109" i="10"/>
  <c r="C108" i="10"/>
  <c r="C107" i="10"/>
  <c r="C106" i="10"/>
  <c r="C105" i="10"/>
  <c r="C104" i="10"/>
  <c r="C103" i="10"/>
  <c r="C102" i="10"/>
  <c r="C101" i="10"/>
  <c r="C100" i="10"/>
  <c r="C99" i="10"/>
  <c r="C98" i="10"/>
  <c r="C97" i="10"/>
  <c r="C96" i="10"/>
  <c r="C95" i="10"/>
  <c r="C94" i="10"/>
  <c r="C93" i="10"/>
  <c r="C92" i="10"/>
  <c r="C91" i="10"/>
  <c r="C90" i="10"/>
  <c r="C89" i="10"/>
  <c r="C88" i="10"/>
  <c r="C87" i="10"/>
  <c r="C86" i="10"/>
  <c r="C85" i="10"/>
  <c r="C84" i="10"/>
  <c r="C83" i="10"/>
  <c r="C82" i="10"/>
  <c r="C81" i="10"/>
  <c r="C80" i="10"/>
  <c r="C79" i="10"/>
  <c r="C78" i="10"/>
  <c r="C77" i="10"/>
  <c r="C76" i="10"/>
  <c r="C75" i="10"/>
  <c r="C74" i="10"/>
  <c r="C73" i="10"/>
  <c r="C72" i="10"/>
  <c r="C71" i="10"/>
  <c r="C70" i="10"/>
  <c r="C69" i="10"/>
  <c r="C68" i="10"/>
  <c r="C67" i="10"/>
  <c r="C66" i="10"/>
  <c r="C65" i="10"/>
  <c r="C64" i="10"/>
  <c r="C63"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W514" i="17"/>
  <c r="W513" i="17"/>
  <c r="W512" i="17"/>
  <c r="W511" i="17"/>
  <c r="W510" i="17"/>
  <c r="W509" i="17"/>
  <c r="W508" i="17"/>
  <c r="W507" i="17"/>
  <c r="W506" i="17"/>
  <c r="W505" i="17"/>
  <c r="W504" i="17"/>
  <c r="W503" i="17"/>
  <c r="W502" i="17"/>
  <c r="W501" i="17"/>
  <c r="W500" i="17"/>
  <c r="W499" i="17"/>
  <c r="W498" i="17"/>
  <c r="W497" i="17"/>
  <c r="W496" i="17"/>
  <c r="W495" i="17"/>
  <c r="W494" i="17"/>
  <c r="W493" i="17"/>
  <c r="W492" i="17"/>
  <c r="W491" i="17"/>
  <c r="W490" i="17"/>
  <c r="W489" i="17"/>
  <c r="W488" i="17"/>
  <c r="W487" i="17"/>
  <c r="W486" i="17"/>
  <c r="W485" i="17"/>
  <c r="W484" i="17"/>
  <c r="W483" i="17"/>
  <c r="W482" i="17"/>
  <c r="W481" i="17"/>
  <c r="W480" i="17"/>
  <c r="W479" i="17"/>
  <c r="W478" i="17"/>
  <c r="W477" i="17"/>
  <c r="W476" i="17"/>
  <c r="W475" i="17"/>
  <c r="W474" i="17"/>
  <c r="W473" i="17"/>
  <c r="W472" i="17"/>
  <c r="W471" i="17"/>
  <c r="W470" i="17"/>
  <c r="W469" i="17"/>
  <c r="W468" i="17"/>
  <c r="W467" i="17"/>
  <c r="W466" i="17"/>
  <c r="W465" i="17"/>
  <c r="W464" i="17"/>
  <c r="W463" i="17"/>
  <c r="W462" i="17"/>
  <c r="W461" i="17"/>
  <c r="W460" i="17"/>
  <c r="W459" i="17"/>
  <c r="W458" i="17"/>
  <c r="W457" i="17"/>
  <c r="W456" i="17"/>
  <c r="W455" i="17"/>
  <c r="W454" i="17"/>
  <c r="W453" i="17"/>
  <c r="W452" i="17"/>
  <c r="W451" i="17"/>
  <c r="W450" i="17"/>
  <c r="W449" i="17"/>
  <c r="W448" i="17"/>
  <c r="W447" i="17"/>
  <c r="W446" i="17"/>
  <c r="W445" i="17"/>
  <c r="W444" i="17"/>
  <c r="W443" i="17"/>
  <c r="W442" i="17"/>
  <c r="W441" i="17"/>
  <c r="W440" i="17"/>
  <c r="W439" i="17"/>
  <c r="W438" i="17"/>
  <c r="W437" i="17"/>
  <c r="W436" i="17"/>
  <c r="W435" i="17"/>
  <c r="W434" i="17"/>
  <c r="W433" i="17"/>
  <c r="W432" i="17"/>
  <c r="W431" i="17"/>
  <c r="W430" i="17"/>
  <c r="W429" i="17"/>
  <c r="W428" i="17"/>
  <c r="W427" i="17"/>
  <c r="W426" i="17"/>
  <c r="W425" i="17"/>
  <c r="W424" i="17"/>
  <c r="W423" i="17"/>
  <c r="W422" i="17"/>
  <c r="W421" i="17"/>
  <c r="W420" i="17"/>
  <c r="W419" i="17"/>
  <c r="W418" i="17"/>
  <c r="W417" i="17"/>
  <c r="W416" i="17"/>
  <c r="W415" i="17"/>
  <c r="W414" i="17"/>
  <c r="W413" i="17"/>
  <c r="W412" i="17"/>
  <c r="W411" i="17"/>
  <c r="W410" i="17"/>
  <c r="W409" i="17"/>
  <c r="W408" i="17"/>
  <c r="W407" i="17"/>
  <c r="W406" i="17"/>
  <c r="W405" i="17"/>
  <c r="W404" i="17"/>
  <c r="W403" i="17"/>
  <c r="W402" i="17"/>
  <c r="W401" i="17"/>
  <c r="W400" i="17"/>
  <c r="W399" i="17"/>
  <c r="W398" i="17"/>
  <c r="W397" i="17"/>
  <c r="W396" i="17"/>
  <c r="W395" i="17"/>
  <c r="W394" i="17"/>
  <c r="W393" i="17"/>
  <c r="W392" i="17"/>
  <c r="W391" i="17"/>
  <c r="W390" i="17"/>
  <c r="W389" i="17"/>
  <c r="W388" i="17"/>
  <c r="W387" i="17"/>
  <c r="W386" i="17"/>
  <c r="W385" i="17"/>
  <c r="W384" i="17"/>
  <c r="W383" i="17"/>
  <c r="W382" i="17"/>
  <c r="W381" i="17"/>
  <c r="W380" i="17"/>
  <c r="W379" i="17"/>
  <c r="W378" i="17"/>
  <c r="W377" i="17"/>
  <c r="W376" i="17"/>
  <c r="W375" i="17"/>
  <c r="W374" i="17"/>
  <c r="W373" i="17"/>
  <c r="W372" i="17"/>
  <c r="W371" i="17"/>
  <c r="W370" i="17"/>
  <c r="W369" i="17"/>
  <c r="W368" i="17"/>
  <c r="W367" i="17"/>
  <c r="W366" i="17"/>
  <c r="W365" i="17"/>
  <c r="W364" i="17"/>
  <c r="W363" i="17"/>
  <c r="W362" i="17"/>
  <c r="W361" i="17"/>
  <c r="W360" i="17"/>
  <c r="W359" i="17"/>
  <c r="W358" i="17"/>
  <c r="W357" i="17"/>
  <c r="W356" i="17"/>
  <c r="W355" i="17"/>
  <c r="W354" i="17"/>
  <c r="W353" i="17"/>
  <c r="W352" i="17"/>
  <c r="W351" i="17"/>
  <c r="W350" i="17"/>
  <c r="W349" i="17"/>
  <c r="W348" i="17"/>
  <c r="W347" i="17"/>
  <c r="W346" i="17"/>
  <c r="W345" i="17"/>
  <c r="W344" i="17"/>
  <c r="W343" i="17"/>
  <c r="W342" i="17"/>
  <c r="W341" i="17"/>
  <c r="W340" i="17"/>
  <c r="W339" i="17"/>
  <c r="W338" i="17"/>
  <c r="W337" i="17"/>
  <c r="W336" i="17"/>
  <c r="W335" i="17"/>
  <c r="W334" i="17"/>
  <c r="W333" i="17"/>
  <c r="W332" i="17"/>
  <c r="W331" i="17"/>
  <c r="W330" i="17"/>
  <c r="W329" i="17"/>
  <c r="W328" i="17"/>
  <c r="W327" i="17"/>
  <c r="W326" i="17"/>
  <c r="W325" i="17"/>
  <c r="W324" i="17"/>
  <c r="W323" i="17"/>
  <c r="W322" i="17"/>
  <c r="W321" i="17"/>
  <c r="W320" i="17"/>
  <c r="W319" i="17"/>
  <c r="W318" i="17"/>
  <c r="W317" i="17"/>
  <c r="W316" i="17"/>
  <c r="W315" i="17"/>
  <c r="W314" i="17"/>
  <c r="W313" i="17"/>
  <c r="W312" i="17"/>
  <c r="W311" i="17"/>
  <c r="W310" i="17"/>
  <c r="W309" i="17"/>
  <c r="W308" i="17"/>
  <c r="W307" i="17"/>
  <c r="W306" i="17"/>
  <c r="W305" i="17"/>
  <c r="W304" i="17"/>
  <c r="W303" i="17"/>
  <c r="W302" i="17"/>
  <c r="W301" i="17"/>
  <c r="W300" i="17"/>
  <c r="W299" i="17"/>
  <c r="W298" i="17"/>
  <c r="W297" i="17"/>
  <c r="W296" i="17"/>
  <c r="W295" i="17"/>
  <c r="W294" i="17"/>
  <c r="W293" i="17"/>
  <c r="W292" i="17"/>
  <c r="W291" i="17"/>
  <c r="W290" i="17"/>
  <c r="W289" i="17"/>
  <c r="W288" i="17"/>
  <c r="W287" i="17"/>
  <c r="W286" i="17"/>
  <c r="W285" i="17"/>
  <c r="W284" i="17"/>
  <c r="W283" i="17"/>
  <c r="W282" i="17"/>
  <c r="W281" i="17"/>
  <c r="W280" i="17"/>
  <c r="W279" i="17"/>
  <c r="W278" i="17"/>
  <c r="W277" i="17"/>
  <c r="W276" i="17"/>
  <c r="W275" i="17"/>
  <c r="W274" i="17"/>
  <c r="W273" i="17"/>
  <c r="W272" i="17"/>
  <c r="W271" i="17"/>
  <c r="W270" i="17"/>
  <c r="W269" i="17"/>
  <c r="W268" i="17"/>
  <c r="W267" i="17"/>
  <c r="W266" i="17"/>
  <c r="W265" i="17"/>
  <c r="W264" i="17"/>
  <c r="W263" i="17"/>
  <c r="W262" i="17"/>
  <c r="W261" i="17"/>
  <c r="W260" i="17"/>
  <c r="W259" i="17"/>
  <c r="W258" i="17"/>
  <c r="W257" i="17"/>
  <c r="W256" i="17"/>
  <c r="W255" i="17"/>
  <c r="W254" i="17"/>
  <c r="W253" i="17"/>
  <c r="W252" i="17"/>
  <c r="W251" i="17"/>
  <c r="W250" i="17"/>
  <c r="W249" i="17"/>
  <c r="W248" i="17"/>
  <c r="W247" i="17"/>
  <c r="W246" i="17"/>
  <c r="W245" i="17"/>
  <c r="W244" i="17"/>
  <c r="W243" i="17"/>
  <c r="W242" i="17"/>
  <c r="W241" i="17"/>
  <c r="W240" i="17"/>
  <c r="W239" i="17"/>
  <c r="W238" i="17"/>
  <c r="W237" i="17"/>
  <c r="W236" i="17"/>
  <c r="W235" i="17"/>
  <c r="W234" i="17"/>
  <c r="W233" i="17"/>
  <c r="W232" i="17"/>
  <c r="W231" i="17"/>
  <c r="W230" i="17"/>
  <c r="W229" i="17"/>
  <c r="W228" i="17"/>
  <c r="W227" i="17"/>
  <c r="W226" i="17"/>
  <c r="W225" i="17"/>
  <c r="W224" i="17"/>
  <c r="W223" i="17"/>
  <c r="W222" i="17"/>
  <c r="W221" i="17"/>
  <c r="W220" i="17"/>
  <c r="W219" i="17"/>
  <c r="W218" i="17"/>
  <c r="W217" i="17"/>
  <c r="W216" i="17"/>
  <c r="W215" i="17"/>
  <c r="W214" i="17"/>
  <c r="W213" i="17"/>
  <c r="W212" i="17"/>
  <c r="W211" i="17"/>
  <c r="W210" i="17"/>
  <c r="W209" i="17"/>
  <c r="W208" i="17"/>
  <c r="W207" i="17"/>
  <c r="W206" i="17"/>
  <c r="W205" i="17"/>
  <c r="W204" i="17"/>
  <c r="W203" i="17"/>
  <c r="W202" i="17"/>
  <c r="W201" i="17"/>
  <c r="W200" i="17"/>
  <c r="W199" i="17"/>
  <c r="W198" i="17"/>
  <c r="W197" i="17"/>
  <c r="W196" i="17"/>
  <c r="W195" i="17"/>
  <c r="W194" i="17"/>
  <c r="W193" i="17"/>
  <c r="W192" i="17"/>
  <c r="W191" i="17"/>
  <c r="W190" i="17"/>
  <c r="W189" i="17"/>
  <c r="W188" i="17"/>
  <c r="W187" i="17"/>
  <c r="W186" i="17"/>
  <c r="W185" i="17"/>
  <c r="W184" i="17"/>
  <c r="W183" i="17"/>
  <c r="W182" i="17"/>
  <c r="W181" i="17"/>
  <c r="W180" i="17"/>
  <c r="W179" i="17"/>
  <c r="W178" i="17"/>
  <c r="W177" i="17"/>
  <c r="W176" i="17"/>
  <c r="W175" i="17"/>
  <c r="W174" i="17"/>
  <c r="W173" i="17"/>
  <c r="W172" i="17"/>
  <c r="W171" i="17"/>
  <c r="W170" i="17"/>
  <c r="W169" i="17"/>
  <c r="W168" i="17"/>
  <c r="W167" i="17"/>
  <c r="W166" i="17"/>
  <c r="W165" i="17"/>
  <c r="W164" i="17"/>
  <c r="W163" i="17"/>
  <c r="W162" i="17"/>
  <c r="W161" i="17"/>
  <c r="W160" i="17"/>
  <c r="W159" i="17"/>
  <c r="W158" i="17"/>
  <c r="W157" i="17"/>
  <c r="W156" i="17"/>
  <c r="W155" i="17"/>
  <c r="W154" i="17"/>
  <c r="W153" i="17"/>
  <c r="W152" i="17"/>
  <c r="W151" i="17"/>
  <c r="W150" i="17"/>
  <c r="W149" i="17"/>
  <c r="W148" i="17"/>
  <c r="W147" i="17"/>
  <c r="W146" i="17"/>
  <c r="W145" i="17"/>
  <c r="W144" i="17"/>
  <c r="W143" i="17"/>
  <c r="W142" i="17"/>
  <c r="W141" i="17"/>
  <c r="W140" i="17"/>
  <c r="W139" i="17"/>
  <c r="W138" i="17"/>
  <c r="W137" i="17"/>
  <c r="W136" i="17"/>
  <c r="W135" i="17"/>
  <c r="W134" i="17"/>
  <c r="W133" i="17"/>
  <c r="W132" i="17"/>
  <c r="W131" i="17"/>
  <c r="W130" i="17"/>
  <c r="W129" i="17"/>
  <c r="W128" i="17"/>
  <c r="W127" i="17"/>
  <c r="W126" i="17"/>
  <c r="W125" i="17"/>
  <c r="W124" i="17"/>
  <c r="W123" i="17"/>
  <c r="W122" i="17"/>
  <c r="W121" i="17"/>
  <c r="W120" i="17"/>
  <c r="W119" i="17"/>
  <c r="W118" i="17"/>
  <c r="W117" i="17"/>
  <c r="W116" i="17"/>
  <c r="W115" i="17"/>
  <c r="W114" i="17"/>
  <c r="W113" i="17"/>
  <c r="W112" i="17"/>
  <c r="W111" i="17"/>
  <c r="W110" i="17"/>
  <c r="W109" i="17"/>
  <c r="W108" i="17"/>
  <c r="W107" i="17"/>
  <c r="W106" i="17"/>
  <c r="W105" i="17"/>
  <c r="W104" i="17"/>
  <c r="W103" i="17"/>
  <c r="W102" i="17"/>
  <c r="W101" i="17"/>
  <c r="W100" i="17"/>
  <c r="W99" i="17"/>
  <c r="W98" i="17"/>
  <c r="W97" i="17"/>
  <c r="W96" i="17"/>
  <c r="W95" i="17"/>
  <c r="W94" i="17"/>
  <c r="W93" i="17"/>
  <c r="W92" i="17"/>
  <c r="W91" i="17"/>
  <c r="W90" i="17"/>
  <c r="W89" i="17"/>
  <c r="W88" i="17"/>
  <c r="W87" i="17"/>
  <c r="W86" i="17"/>
  <c r="W85" i="17"/>
  <c r="W84" i="17"/>
  <c r="W83" i="17"/>
  <c r="W82" i="17"/>
  <c r="W81" i="17"/>
  <c r="W80" i="17"/>
  <c r="W79" i="17"/>
  <c r="W78" i="17"/>
  <c r="W77" i="17"/>
  <c r="W76" i="17"/>
  <c r="W75" i="17"/>
  <c r="W74" i="17"/>
  <c r="W73" i="17"/>
  <c r="W72" i="17"/>
  <c r="W71" i="17"/>
  <c r="W70" i="17"/>
  <c r="W69" i="17"/>
  <c r="W68" i="17"/>
  <c r="W67" i="17"/>
  <c r="W66" i="17"/>
  <c r="W65" i="17"/>
  <c r="W64" i="17"/>
  <c r="W63" i="17"/>
  <c r="W62" i="17"/>
  <c r="W61" i="17"/>
  <c r="W60" i="17"/>
  <c r="W59" i="17"/>
  <c r="W58" i="17"/>
  <c r="W57" i="17"/>
  <c r="W56" i="17"/>
  <c r="W55" i="17"/>
  <c r="W54" i="17"/>
  <c r="W53" i="17"/>
  <c r="W52" i="17"/>
  <c r="W51" i="17"/>
  <c r="W50" i="17"/>
  <c r="W49" i="17"/>
  <c r="W48" i="17"/>
  <c r="W47" i="17"/>
  <c r="W46" i="17"/>
  <c r="W45" i="17"/>
  <c r="W44" i="17"/>
  <c r="W43" i="17"/>
  <c r="W42" i="17"/>
  <c r="W41" i="17"/>
  <c r="W40" i="17"/>
  <c r="W39" i="17"/>
  <c r="W38" i="17"/>
  <c r="W37" i="17"/>
  <c r="W36" i="17"/>
  <c r="W35" i="17"/>
  <c r="W34" i="17"/>
  <c r="W33" i="17"/>
  <c r="W32" i="17"/>
  <c r="W31" i="17"/>
  <c r="W30" i="17"/>
  <c r="W29" i="17"/>
  <c r="W28" i="17"/>
  <c r="W27" i="17"/>
  <c r="W26" i="17"/>
  <c r="W25" i="17"/>
  <c r="W24" i="17"/>
  <c r="W23" i="17"/>
  <c r="W22" i="17"/>
  <c r="W21" i="17"/>
  <c r="W20" i="17"/>
  <c r="W19" i="17"/>
  <c r="W18" i="17"/>
  <c r="W17" i="17"/>
  <c r="W16" i="17"/>
  <c r="O514" i="17"/>
  <c r="P514" i="17" s="1"/>
  <c r="O513" i="17"/>
  <c r="P513" i="17" s="1"/>
  <c r="O512" i="17"/>
  <c r="P512" i="17" s="1"/>
  <c r="O511" i="17"/>
  <c r="P511" i="17" s="1"/>
  <c r="O510" i="17"/>
  <c r="P510" i="17" s="1"/>
  <c r="O509" i="17"/>
  <c r="P509" i="17" s="1"/>
  <c r="O508" i="17"/>
  <c r="P508" i="17" s="1"/>
  <c r="O507" i="17"/>
  <c r="P507" i="17" s="1"/>
  <c r="O506" i="17"/>
  <c r="P506" i="17" s="1"/>
  <c r="O505" i="17"/>
  <c r="P505" i="17" s="1"/>
  <c r="O504" i="17"/>
  <c r="P504" i="17" s="1"/>
  <c r="O503" i="17"/>
  <c r="P503" i="17" s="1"/>
  <c r="O502" i="17"/>
  <c r="P502" i="17" s="1"/>
  <c r="O501" i="17"/>
  <c r="P501" i="17" s="1"/>
  <c r="O500" i="17"/>
  <c r="P500" i="17" s="1"/>
  <c r="O499" i="17"/>
  <c r="P499" i="17" s="1"/>
  <c r="O498" i="17"/>
  <c r="P498" i="17" s="1"/>
  <c r="O497" i="17"/>
  <c r="P497" i="17" s="1"/>
  <c r="O496" i="17"/>
  <c r="P496" i="17" s="1"/>
  <c r="O495" i="17"/>
  <c r="P495" i="17" s="1"/>
  <c r="O494" i="17"/>
  <c r="P494" i="17" s="1"/>
  <c r="O493" i="17"/>
  <c r="P493" i="17" s="1"/>
  <c r="O492" i="17"/>
  <c r="P492" i="17" s="1"/>
  <c r="O491" i="17"/>
  <c r="P491" i="17" s="1"/>
  <c r="O490" i="17"/>
  <c r="P490" i="17" s="1"/>
  <c r="O489" i="17"/>
  <c r="P489" i="17" s="1"/>
  <c r="O488" i="17"/>
  <c r="P488" i="17" s="1"/>
  <c r="O487" i="17"/>
  <c r="P487" i="17" s="1"/>
  <c r="O486" i="17"/>
  <c r="P486" i="17" s="1"/>
  <c r="O485" i="17"/>
  <c r="P485" i="17" s="1"/>
  <c r="O484" i="17"/>
  <c r="P484" i="17" s="1"/>
  <c r="O483" i="17"/>
  <c r="P483" i="17" s="1"/>
  <c r="O482" i="17"/>
  <c r="P482" i="17" s="1"/>
  <c r="O481" i="17"/>
  <c r="P481" i="17" s="1"/>
  <c r="O480" i="17"/>
  <c r="P480" i="17" s="1"/>
  <c r="O479" i="17"/>
  <c r="P479" i="17" s="1"/>
  <c r="O478" i="17"/>
  <c r="P478" i="17" s="1"/>
  <c r="O477" i="17"/>
  <c r="P477" i="17" s="1"/>
  <c r="O476" i="17"/>
  <c r="P476" i="17" s="1"/>
  <c r="O475" i="17"/>
  <c r="P475" i="17" s="1"/>
  <c r="O474" i="17"/>
  <c r="P474" i="17" s="1"/>
  <c r="O473" i="17"/>
  <c r="P473" i="17" s="1"/>
  <c r="O472" i="17"/>
  <c r="P472" i="17" s="1"/>
  <c r="O471" i="17"/>
  <c r="P471" i="17" s="1"/>
  <c r="O470" i="17"/>
  <c r="P470" i="17" s="1"/>
  <c r="O469" i="17"/>
  <c r="P469" i="17" s="1"/>
  <c r="O468" i="17"/>
  <c r="P468" i="17" s="1"/>
  <c r="O467" i="17"/>
  <c r="P467" i="17" s="1"/>
  <c r="O466" i="17"/>
  <c r="P466" i="17" s="1"/>
  <c r="O465" i="17"/>
  <c r="P465" i="17" s="1"/>
  <c r="O464" i="17"/>
  <c r="P464" i="17" s="1"/>
  <c r="O463" i="17"/>
  <c r="P463" i="17" s="1"/>
  <c r="O462" i="17"/>
  <c r="P462" i="17" s="1"/>
  <c r="O461" i="17"/>
  <c r="P461" i="17" s="1"/>
  <c r="O460" i="17"/>
  <c r="P460" i="17" s="1"/>
  <c r="O459" i="17"/>
  <c r="P459" i="17" s="1"/>
  <c r="O458" i="17"/>
  <c r="P458" i="17" s="1"/>
  <c r="O457" i="17"/>
  <c r="P457" i="17" s="1"/>
  <c r="O456" i="17"/>
  <c r="P456" i="17" s="1"/>
  <c r="O455" i="17"/>
  <c r="P455" i="17" s="1"/>
  <c r="O454" i="17"/>
  <c r="P454" i="17" s="1"/>
  <c r="O453" i="17"/>
  <c r="P453" i="17" s="1"/>
  <c r="O452" i="17"/>
  <c r="P452" i="17" s="1"/>
  <c r="O451" i="17"/>
  <c r="P451" i="17" s="1"/>
  <c r="O450" i="17"/>
  <c r="P450" i="17" s="1"/>
  <c r="O449" i="17"/>
  <c r="P449" i="17" s="1"/>
  <c r="O448" i="17"/>
  <c r="P448" i="17" s="1"/>
  <c r="O447" i="17"/>
  <c r="P447" i="17" s="1"/>
  <c r="O446" i="17"/>
  <c r="P446" i="17" s="1"/>
  <c r="O445" i="17"/>
  <c r="P445" i="17" s="1"/>
  <c r="O444" i="17"/>
  <c r="P444" i="17" s="1"/>
  <c r="O443" i="17"/>
  <c r="P443" i="17" s="1"/>
  <c r="O442" i="17"/>
  <c r="P442" i="17" s="1"/>
  <c r="O441" i="17"/>
  <c r="P441" i="17" s="1"/>
  <c r="O440" i="17"/>
  <c r="P440" i="17" s="1"/>
  <c r="O439" i="17"/>
  <c r="P439" i="17" s="1"/>
  <c r="O438" i="17"/>
  <c r="P438" i="17" s="1"/>
  <c r="O437" i="17"/>
  <c r="P437" i="17" s="1"/>
  <c r="O436" i="17"/>
  <c r="P436" i="17" s="1"/>
  <c r="O435" i="17"/>
  <c r="P435" i="17" s="1"/>
  <c r="O434" i="17"/>
  <c r="P434" i="17" s="1"/>
  <c r="O433" i="17"/>
  <c r="P433" i="17" s="1"/>
  <c r="O432" i="17"/>
  <c r="P432" i="17" s="1"/>
  <c r="O431" i="17"/>
  <c r="P431" i="17" s="1"/>
  <c r="O430" i="17"/>
  <c r="P430" i="17" s="1"/>
  <c r="O429" i="17"/>
  <c r="P429" i="17" s="1"/>
  <c r="O428" i="17"/>
  <c r="P428" i="17" s="1"/>
  <c r="O427" i="17"/>
  <c r="P427" i="17" s="1"/>
  <c r="O426" i="17"/>
  <c r="P426" i="17" s="1"/>
  <c r="O425" i="17"/>
  <c r="P425" i="17" s="1"/>
  <c r="O424" i="17"/>
  <c r="P424" i="17" s="1"/>
  <c r="O423" i="17"/>
  <c r="P423" i="17" s="1"/>
  <c r="O422" i="17"/>
  <c r="P422" i="17" s="1"/>
  <c r="O421" i="17"/>
  <c r="P421" i="17" s="1"/>
  <c r="O420" i="17"/>
  <c r="P420" i="17" s="1"/>
  <c r="O419" i="17"/>
  <c r="P419" i="17" s="1"/>
  <c r="O418" i="17"/>
  <c r="P418" i="17" s="1"/>
  <c r="O417" i="17"/>
  <c r="P417" i="17" s="1"/>
  <c r="O416" i="17"/>
  <c r="P416" i="17" s="1"/>
  <c r="O415" i="17"/>
  <c r="P415" i="17" s="1"/>
  <c r="O414" i="17"/>
  <c r="P414" i="17" s="1"/>
  <c r="O413" i="17"/>
  <c r="P413" i="17" s="1"/>
  <c r="O412" i="17"/>
  <c r="P412" i="17" s="1"/>
  <c r="O411" i="17"/>
  <c r="P411" i="17" s="1"/>
  <c r="O410" i="17"/>
  <c r="P410" i="17" s="1"/>
  <c r="O409" i="17"/>
  <c r="P409" i="17" s="1"/>
  <c r="O408" i="17"/>
  <c r="P408" i="17" s="1"/>
  <c r="O407" i="17"/>
  <c r="P407" i="17" s="1"/>
  <c r="O406" i="17"/>
  <c r="P406" i="17" s="1"/>
  <c r="O405" i="17"/>
  <c r="P405" i="17" s="1"/>
  <c r="O404" i="17"/>
  <c r="P404" i="17" s="1"/>
  <c r="O403" i="17"/>
  <c r="P403" i="17" s="1"/>
  <c r="O402" i="17"/>
  <c r="P402" i="17" s="1"/>
  <c r="O401" i="17"/>
  <c r="P401" i="17" s="1"/>
  <c r="O400" i="17"/>
  <c r="P400" i="17" s="1"/>
  <c r="O399" i="17"/>
  <c r="P399" i="17" s="1"/>
  <c r="O398" i="17"/>
  <c r="P398" i="17" s="1"/>
  <c r="O397" i="17"/>
  <c r="P397" i="17" s="1"/>
  <c r="O396" i="17"/>
  <c r="P396" i="17" s="1"/>
  <c r="O395" i="17"/>
  <c r="P395" i="17" s="1"/>
  <c r="O394" i="17"/>
  <c r="P394" i="17" s="1"/>
  <c r="O393" i="17"/>
  <c r="P393" i="17" s="1"/>
  <c r="O392" i="17"/>
  <c r="P392" i="17" s="1"/>
  <c r="O391" i="17"/>
  <c r="P391" i="17" s="1"/>
  <c r="O390" i="17"/>
  <c r="P390" i="17" s="1"/>
  <c r="O389" i="17"/>
  <c r="P389" i="17" s="1"/>
  <c r="O388" i="17"/>
  <c r="P388" i="17" s="1"/>
  <c r="O387" i="17"/>
  <c r="P387" i="17" s="1"/>
  <c r="O386" i="17"/>
  <c r="P386" i="17" s="1"/>
  <c r="O385" i="17"/>
  <c r="P385" i="17" s="1"/>
  <c r="O384" i="17"/>
  <c r="P384" i="17" s="1"/>
  <c r="O383" i="17"/>
  <c r="P383" i="17" s="1"/>
  <c r="O382" i="17"/>
  <c r="P382" i="17" s="1"/>
  <c r="O381" i="17"/>
  <c r="P381" i="17" s="1"/>
  <c r="O380" i="17"/>
  <c r="P380" i="17" s="1"/>
  <c r="O379" i="17"/>
  <c r="P379" i="17" s="1"/>
  <c r="O378" i="17"/>
  <c r="P378" i="17" s="1"/>
  <c r="O377" i="17"/>
  <c r="P377" i="17" s="1"/>
  <c r="O376" i="17"/>
  <c r="P376" i="17" s="1"/>
  <c r="O375" i="17"/>
  <c r="P375" i="17" s="1"/>
  <c r="O374" i="17"/>
  <c r="P374" i="17" s="1"/>
  <c r="O373" i="17"/>
  <c r="P373" i="17" s="1"/>
  <c r="O372" i="17"/>
  <c r="P372" i="17" s="1"/>
  <c r="O371" i="17"/>
  <c r="P371" i="17" s="1"/>
  <c r="O370" i="17"/>
  <c r="P370" i="17" s="1"/>
  <c r="O369" i="17"/>
  <c r="P369" i="17" s="1"/>
  <c r="O368" i="17"/>
  <c r="P368" i="17" s="1"/>
  <c r="O367" i="17"/>
  <c r="P367" i="17" s="1"/>
  <c r="O366" i="17"/>
  <c r="P366" i="17" s="1"/>
  <c r="O365" i="17"/>
  <c r="P365" i="17" s="1"/>
  <c r="O364" i="17"/>
  <c r="P364" i="17" s="1"/>
  <c r="O363" i="17"/>
  <c r="P363" i="17" s="1"/>
  <c r="O362" i="17"/>
  <c r="P362" i="17" s="1"/>
  <c r="O361" i="17"/>
  <c r="P361" i="17" s="1"/>
  <c r="O360" i="17"/>
  <c r="P360" i="17" s="1"/>
  <c r="O359" i="17"/>
  <c r="P359" i="17" s="1"/>
  <c r="O358" i="17"/>
  <c r="P358" i="17" s="1"/>
  <c r="O357" i="17"/>
  <c r="P357" i="17" s="1"/>
  <c r="O356" i="17"/>
  <c r="P356" i="17" s="1"/>
  <c r="O355" i="17"/>
  <c r="P355" i="17" s="1"/>
  <c r="O354" i="17"/>
  <c r="P354" i="17" s="1"/>
  <c r="O353" i="17"/>
  <c r="P353" i="17" s="1"/>
  <c r="O352" i="17"/>
  <c r="P352" i="17" s="1"/>
  <c r="O351" i="17"/>
  <c r="P351" i="17" s="1"/>
  <c r="O350" i="17"/>
  <c r="P350" i="17" s="1"/>
  <c r="O349" i="17"/>
  <c r="P349" i="17" s="1"/>
  <c r="O348" i="17"/>
  <c r="P348" i="17" s="1"/>
  <c r="O347" i="17"/>
  <c r="P347" i="17" s="1"/>
  <c r="O346" i="17"/>
  <c r="P346" i="17" s="1"/>
  <c r="O345" i="17"/>
  <c r="P345" i="17" s="1"/>
  <c r="O344" i="17"/>
  <c r="P344" i="17" s="1"/>
  <c r="O343" i="17"/>
  <c r="P343" i="17" s="1"/>
  <c r="O342" i="17"/>
  <c r="P342" i="17" s="1"/>
  <c r="O341" i="17"/>
  <c r="P341" i="17" s="1"/>
  <c r="O340" i="17"/>
  <c r="P340" i="17" s="1"/>
  <c r="O339" i="17"/>
  <c r="P339" i="17" s="1"/>
  <c r="O338" i="17"/>
  <c r="P338" i="17" s="1"/>
  <c r="O337" i="17"/>
  <c r="P337" i="17" s="1"/>
  <c r="O336" i="17"/>
  <c r="P336" i="17" s="1"/>
  <c r="O335" i="17"/>
  <c r="P335" i="17" s="1"/>
  <c r="O334" i="17"/>
  <c r="P334" i="17" s="1"/>
  <c r="O333" i="17"/>
  <c r="P333" i="17" s="1"/>
  <c r="O332" i="17"/>
  <c r="P332" i="17" s="1"/>
  <c r="O331" i="17"/>
  <c r="P331" i="17" s="1"/>
  <c r="O330" i="17"/>
  <c r="P330" i="17" s="1"/>
  <c r="O329" i="17"/>
  <c r="P329" i="17" s="1"/>
  <c r="O328" i="17"/>
  <c r="P328" i="17" s="1"/>
  <c r="O327" i="17"/>
  <c r="P327" i="17" s="1"/>
  <c r="O326" i="17"/>
  <c r="P326" i="17" s="1"/>
  <c r="O325" i="17"/>
  <c r="P325" i="17" s="1"/>
  <c r="O324" i="17"/>
  <c r="P324" i="17" s="1"/>
  <c r="O323" i="17"/>
  <c r="P323" i="17" s="1"/>
  <c r="O322" i="17"/>
  <c r="P322" i="17" s="1"/>
  <c r="O321" i="17"/>
  <c r="P321" i="17" s="1"/>
  <c r="O320" i="17"/>
  <c r="P320" i="17" s="1"/>
  <c r="O319" i="17"/>
  <c r="P319" i="17" s="1"/>
  <c r="O318" i="17"/>
  <c r="P318" i="17" s="1"/>
  <c r="O317" i="17"/>
  <c r="P317" i="17" s="1"/>
  <c r="O316" i="17"/>
  <c r="P316" i="17" s="1"/>
  <c r="O315" i="17"/>
  <c r="P315" i="17" s="1"/>
  <c r="O314" i="17"/>
  <c r="P314" i="17" s="1"/>
  <c r="O313" i="17"/>
  <c r="P313" i="17" s="1"/>
  <c r="O312" i="17"/>
  <c r="P312" i="17" s="1"/>
  <c r="O311" i="17"/>
  <c r="P311" i="17" s="1"/>
  <c r="O310" i="17"/>
  <c r="P310" i="17" s="1"/>
  <c r="O309" i="17"/>
  <c r="P309" i="17" s="1"/>
  <c r="O308" i="17"/>
  <c r="P308" i="17" s="1"/>
  <c r="O307" i="17"/>
  <c r="P307" i="17" s="1"/>
  <c r="O306" i="17"/>
  <c r="P306" i="17" s="1"/>
  <c r="O305" i="17"/>
  <c r="P305" i="17" s="1"/>
  <c r="O304" i="17"/>
  <c r="P304" i="17" s="1"/>
  <c r="O303" i="17"/>
  <c r="P303" i="17" s="1"/>
  <c r="O302" i="17"/>
  <c r="P302" i="17" s="1"/>
  <c r="O301" i="17"/>
  <c r="P301" i="17" s="1"/>
  <c r="O300" i="17"/>
  <c r="P300" i="17" s="1"/>
  <c r="O299" i="17"/>
  <c r="P299" i="17" s="1"/>
  <c r="O298" i="17"/>
  <c r="P298" i="17" s="1"/>
  <c r="O297" i="17"/>
  <c r="P297" i="17" s="1"/>
  <c r="O296" i="17"/>
  <c r="P296" i="17" s="1"/>
  <c r="O295" i="17"/>
  <c r="P295" i="17" s="1"/>
  <c r="O294" i="17"/>
  <c r="P294" i="17" s="1"/>
  <c r="O293" i="17"/>
  <c r="P293" i="17" s="1"/>
  <c r="O292" i="17"/>
  <c r="P292" i="17" s="1"/>
  <c r="O291" i="17"/>
  <c r="P291" i="17" s="1"/>
  <c r="O290" i="17"/>
  <c r="P290" i="17" s="1"/>
  <c r="O289" i="17"/>
  <c r="P289" i="17" s="1"/>
  <c r="O288" i="17"/>
  <c r="P288" i="17" s="1"/>
  <c r="O287" i="17"/>
  <c r="P287" i="17" s="1"/>
  <c r="O286" i="17"/>
  <c r="P286" i="17" s="1"/>
  <c r="O285" i="17"/>
  <c r="P285" i="17" s="1"/>
  <c r="O284" i="17"/>
  <c r="P284" i="17" s="1"/>
  <c r="O283" i="17"/>
  <c r="P283" i="17" s="1"/>
  <c r="O282" i="17"/>
  <c r="P282" i="17" s="1"/>
  <c r="O281" i="17"/>
  <c r="P281" i="17" s="1"/>
  <c r="O280" i="17"/>
  <c r="P280" i="17" s="1"/>
  <c r="O279" i="17"/>
  <c r="P279" i="17" s="1"/>
  <c r="O278" i="17"/>
  <c r="P278" i="17" s="1"/>
  <c r="O277" i="17"/>
  <c r="P277" i="17" s="1"/>
  <c r="O276" i="17"/>
  <c r="P276" i="17" s="1"/>
  <c r="O275" i="17"/>
  <c r="P275" i="17" s="1"/>
  <c r="O274" i="17"/>
  <c r="P274" i="17" s="1"/>
  <c r="O273" i="17"/>
  <c r="P273" i="17" s="1"/>
  <c r="O272" i="17"/>
  <c r="P272" i="17" s="1"/>
  <c r="O271" i="17"/>
  <c r="P271" i="17" s="1"/>
  <c r="O270" i="17"/>
  <c r="P270" i="17" s="1"/>
  <c r="O269" i="17"/>
  <c r="P269" i="17" s="1"/>
  <c r="O268" i="17"/>
  <c r="P268" i="17" s="1"/>
  <c r="O267" i="17"/>
  <c r="P267" i="17" s="1"/>
  <c r="O266" i="17"/>
  <c r="P266" i="17" s="1"/>
  <c r="O265" i="17"/>
  <c r="P265" i="17" s="1"/>
  <c r="O264" i="17"/>
  <c r="P264" i="17" s="1"/>
  <c r="O263" i="17"/>
  <c r="P263" i="17" s="1"/>
  <c r="O262" i="17"/>
  <c r="P262" i="17" s="1"/>
  <c r="O261" i="17"/>
  <c r="P261" i="17" s="1"/>
  <c r="O260" i="17"/>
  <c r="P260" i="17" s="1"/>
  <c r="O259" i="17"/>
  <c r="P259" i="17" s="1"/>
  <c r="O258" i="17"/>
  <c r="P258" i="17" s="1"/>
  <c r="O257" i="17"/>
  <c r="P257" i="17" s="1"/>
  <c r="O256" i="17"/>
  <c r="P256" i="17" s="1"/>
  <c r="O255" i="17"/>
  <c r="P255" i="17" s="1"/>
  <c r="O254" i="17"/>
  <c r="P254" i="17" s="1"/>
  <c r="O253" i="17"/>
  <c r="P253" i="17" s="1"/>
  <c r="O252" i="17"/>
  <c r="P252" i="17" s="1"/>
  <c r="O251" i="17"/>
  <c r="P251" i="17" s="1"/>
  <c r="O250" i="17"/>
  <c r="P250" i="17" s="1"/>
  <c r="O249" i="17"/>
  <c r="P249" i="17" s="1"/>
  <c r="O248" i="17"/>
  <c r="P248" i="17" s="1"/>
  <c r="P247" i="17"/>
  <c r="O247" i="17"/>
  <c r="O246" i="17"/>
  <c r="P246" i="17" s="1"/>
  <c r="O245" i="17"/>
  <c r="P245" i="17" s="1"/>
  <c r="O244" i="17"/>
  <c r="P244" i="17" s="1"/>
  <c r="O243" i="17"/>
  <c r="P243" i="17" s="1"/>
  <c r="O242" i="17"/>
  <c r="P242" i="17" s="1"/>
  <c r="O241" i="17"/>
  <c r="P241" i="17" s="1"/>
  <c r="O240" i="17"/>
  <c r="P240" i="17" s="1"/>
  <c r="O239" i="17"/>
  <c r="P239" i="17" s="1"/>
  <c r="O238" i="17"/>
  <c r="P238" i="17" s="1"/>
  <c r="O237" i="17"/>
  <c r="P237" i="17" s="1"/>
  <c r="O236" i="17"/>
  <c r="P236" i="17" s="1"/>
  <c r="P235" i="17"/>
  <c r="O235" i="17"/>
  <c r="O234" i="17"/>
  <c r="P234" i="17" s="1"/>
  <c r="O233" i="17"/>
  <c r="P233" i="17" s="1"/>
  <c r="O232" i="17"/>
  <c r="P232" i="17" s="1"/>
  <c r="O231" i="17"/>
  <c r="P231" i="17" s="1"/>
  <c r="O230" i="17"/>
  <c r="P230" i="17" s="1"/>
  <c r="P229" i="17"/>
  <c r="O229" i="17"/>
  <c r="O228" i="17"/>
  <c r="P228" i="17" s="1"/>
  <c r="O227" i="17"/>
  <c r="P227" i="17" s="1"/>
  <c r="O226" i="17"/>
  <c r="P226" i="17" s="1"/>
  <c r="O225" i="17"/>
  <c r="P225" i="17" s="1"/>
  <c r="O224" i="17"/>
  <c r="P224" i="17" s="1"/>
  <c r="O223" i="17"/>
  <c r="P223" i="17" s="1"/>
  <c r="O222" i="17"/>
  <c r="P222" i="17" s="1"/>
  <c r="P221" i="17"/>
  <c r="O221" i="17"/>
  <c r="O220" i="17"/>
  <c r="P220" i="17" s="1"/>
  <c r="P219" i="17"/>
  <c r="O219" i="17"/>
  <c r="O218" i="17"/>
  <c r="P218" i="17" s="1"/>
  <c r="O217" i="17"/>
  <c r="P217" i="17" s="1"/>
  <c r="O216" i="17"/>
  <c r="P216" i="17" s="1"/>
  <c r="O215" i="17"/>
  <c r="P215" i="17" s="1"/>
  <c r="O214" i="17"/>
  <c r="P214" i="17" s="1"/>
  <c r="P213" i="17"/>
  <c r="O213" i="17"/>
  <c r="O212" i="17"/>
  <c r="P212" i="17" s="1"/>
  <c r="O211" i="17"/>
  <c r="P211" i="17" s="1"/>
  <c r="O210" i="17"/>
  <c r="P210" i="17" s="1"/>
  <c r="O209" i="17"/>
  <c r="P209" i="17" s="1"/>
  <c r="O208" i="17"/>
  <c r="P208" i="17" s="1"/>
  <c r="P207" i="17"/>
  <c r="O207" i="17"/>
  <c r="O206" i="17"/>
  <c r="P206" i="17" s="1"/>
  <c r="P205" i="17"/>
  <c r="O205" i="17"/>
  <c r="O204" i="17"/>
  <c r="P204" i="17" s="1"/>
  <c r="P203" i="17"/>
  <c r="O203" i="17"/>
  <c r="O202" i="17"/>
  <c r="P202" i="17" s="1"/>
  <c r="O201" i="17"/>
  <c r="P201" i="17" s="1"/>
  <c r="O200" i="17"/>
  <c r="P200" i="17" s="1"/>
  <c r="P199" i="17"/>
  <c r="O199" i="17"/>
  <c r="O198" i="17"/>
  <c r="P198" i="17" s="1"/>
  <c r="O197" i="17"/>
  <c r="P197" i="17" s="1"/>
  <c r="P196" i="17"/>
  <c r="O196" i="17"/>
  <c r="O195" i="17"/>
  <c r="P195" i="17" s="1"/>
  <c r="O194" i="17"/>
  <c r="P194" i="17" s="1"/>
  <c r="P193" i="17"/>
  <c r="O193" i="17"/>
  <c r="O192" i="17"/>
  <c r="P192" i="17" s="1"/>
  <c r="O191" i="17"/>
  <c r="P191" i="17" s="1"/>
  <c r="O190" i="17"/>
  <c r="P190" i="17" s="1"/>
  <c r="P189" i="17"/>
  <c r="O189" i="17"/>
  <c r="O188" i="17"/>
  <c r="P188" i="17" s="1"/>
  <c r="P187" i="17"/>
  <c r="O187" i="17"/>
  <c r="O186" i="17"/>
  <c r="P186" i="17" s="1"/>
  <c r="P185" i="17"/>
  <c r="O185" i="17"/>
  <c r="P184" i="17"/>
  <c r="O184" i="17"/>
  <c r="O183" i="17"/>
  <c r="P183" i="17" s="1"/>
  <c r="O182" i="17"/>
  <c r="P182" i="17" s="1"/>
  <c r="O181" i="17"/>
  <c r="P181" i="17" s="1"/>
  <c r="P180" i="17"/>
  <c r="O180" i="17"/>
  <c r="O179" i="17"/>
  <c r="P179" i="17" s="1"/>
  <c r="O178" i="17"/>
  <c r="P178" i="17" s="1"/>
  <c r="O177" i="17"/>
  <c r="P177" i="17" s="1"/>
  <c r="P176" i="17"/>
  <c r="O176" i="17"/>
  <c r="P175" i="17"/>
  <c r="O175" i="17"/>
  <c r="O174" i="17"/>
  <c r="P174" i="17" s="1"/>
  <c r="O173" i="17"/>
  <c r="P173" i="17" s="1"/>
  <c r="P172" i="17"/>
  <c r="O172" i="17"/>
  <c r="P171" i="17"/>
  <c r="O171" i="17"/>
  <c r="O170" i="17"/>
  <c r="P170" i="17" s="1"/>
  <c r="O169" i="17"/>
  <c r="P169" i="17" s="1"/>
  <c r="P168" i="17"/>
  <c r="O168" i="17"/>
  <c r="P167" i="17"/>
  <c r="O167" i="17"/>
  <c r="O166" i="17"/>
  <c r="P166" i="17" s="1"/>
  <c r="O165" i="17"/>
  <c r="P165" i="17" s="1"/>
  <c r="P164" i="17"/>
  <c r="O164" i="17"/>
  <c r="P163" i="17"/>
  <c r="O163" i="17"/>
  <c r="O162" i="17"/>
  <c r="P162" i="17" s="1"/>
  <c r="O161" i="17"/>
  <c r="P161" i="17" s="1"/>
  <c r="P160" i="17"/>
  <c r="O160" i="17"/>
  <c r="P159" i="17"/>
  <c r="O159" i="17"/>
  <c r="O158" i="17"/>
  <c r="P158" i="17" s="1"/>
  <c r="O157" i="17"/>
  <c r="P157" i="17" s="1"/>
  <c r="P156" i="17"/>
  <c r="O156" i="17"/>
  <c r="P155" i="17"/>
  <c r="O155" i="17"/>
  <c r="O154" i="17"/>
  <c r="P154" i="17" s="1"/>
  <c r="O153" i="17"/>
  <c r="P153" i="17" s="1"/>
  <c r="P152" i="17"/>
  <c r="O152" i="17"/>
  <c r="P151" i="17"/>
  <c r="O151" i="17"/>
  <c r="O150" i="17"/>
  <c r="P150" i="17" s="1"/>
  <c r="O149" i="17"/>
  <c r="P149" i="17" s="1"/>
  <c r="P148" i="17"/>
  <c r="O148" i="17"/>
  <c r="P147" i="17"/>
  <c r="O147" i="17"/>
  <c r="O146" i="17"/>
  <c r="P146" i="17" s="1"/>
  <c r="O145" i="17"/>
  <c r="P145" i="17" s="1"/>
  <c r="P144" i="17"/>
  <c r="O144" i="17"/>
  <c r="P143" i="17"/>
  <c r="O143" i="17"/>
  <c r="O142" i="17"/>
  <c r="P142" i="17" s="1"/>
  <c r="O141" i="17"/>
  <c r="P141" i="17" s="1"/>
  <c r="P140" i="17"/>
  <c r="O140" i="17"/>
  <c r="P139" i="17"/>
  <c r="O139" i="17"/>
  <c r="O138" i="17"/>
  <c r="P138" i="17" s="1"/>
  <c r="O137" i="17"/>
  <c r="P137" i="17" s="1"/>
  <c r="P136" i="17"/>
  <c r="O136" i="17"/>
  <c r="P135" i="17"/>
  <c r="O135" i="17"/>
  <c r="O134" i="17"/>
  <c r="P134" i="17" s="1"/>
  <c r="O133" i="17"/>
  <c r="P133" i="17" s="1"/>
  <c r="P132" i="17"/>
  <c r="O132" i="17"/>
  <c r="P131" i="17"/>
  <c r="O131" i="17"/>
  <c r="O130" i="17"/>
  <c r="P130" i="17" s="1"/>
  <c r="O129" i="17"/>
  <c r="P129" i="17" s="1"/>
  <c r="P128" i="17"/>
  <c r="O128" i="17"/>
  <c r="P127" i="17"/>
  <c r="O127" i="17"/>
  <c r="O126" i="17"/>
  <c r="P126" i="17" s="1"/>
  <c r="O125" i="17"/>
  <c r="P125" i="17" s="1"/>
  <c r="P124" i="17"/>
  <c r="O124" i="17"/>
  <c r="P123" i="17"/>
  <c r="O123" i="17"/>
  <c r="O122" i="17"/>
  <c r="P122" i="17" s="1"/>
  <c r="O121" i="17"/>
  <c r="P121" i="17" s="1"/>
  <c r="P120" i="17"/>
  <c r="O120" i="17"/>
  <c r="P119" i="17"/>
  <c r="O119" i="17"/>
  <c r="O118" i="17"/>
  <c r="P118" i="17" s="1"/>
  <c r="O117" i="17"/>
  <c r="P117" i="17" s="1"/>
  <c r="P116" i="17"/>
  <c r="O116" i="17"/>
  <c r="P115" i="17"/>
  <c r="O115" i="17"/>
  <c r="O114" i="17"/>
  <c r="P114" i="17" s="1"/>
  <c r="O113" i="17"/>
  <c r="P113" i="17" s="1"/>
  <c r="P112" i="17"/>
  <c r="O112" i="17"/>
  <c r="P111" i="17"/>
  <c r="O111" i="17"/>
  <c r="O110" i="17"/>
  <c r="P110" i="17" s="1"/>
  <c r="O109" i="17"/>
  <c r="P109" i="17" s="1"/>
  <c r="P108" i="17"/>
  <c r="O108" i="17"/>
  <c r="P107" i="17"/>
  <c r="O107" i="17"/>
  <c r="O106" i="17"/>
  <c r="P106" i="17" s="1"/>
  <c r="O105" i="17"/>
  <c r="P105" i="17" s="1"/>
  <c r="P104" i="17"/>
  <c r="O104" i="17"/>
  <c r="P103" i="17"/>
  <c r="O103" i="17"/>
  <c r="O102" i="17"/>
  <c r="P102" i="17" s="1"/>
  <c r="O101" i="17"/>
  <c r="P101" i="17" s="1"/>
  <c r="P100" i="17"/>
  <c r="O100" i="17"/>
  <c r="P99" i="17"/>
  <c r="O99" i="17"/>
  <c r="O98" i="17"/>
  <c r="P98" i="17" s="1"/>
  <c r="O97" i="17"/>
  <c r="P97" i="17" s="1"/>
  <c r="P96" i="17"/>
  <c r="O96" i="17"/>
  <c r="P95" i="17"/>
  <c r="O95" i="17"/>
  <c r="O94" i="17"/>
  <c r="P94" i="17" s="1"/>
  <c r="O93" i="17"/>
  <c r="P93" i="17" s="1"/>
  <c r="P92" i="17"/>
  <c r="O92" i="17"/>
  <c r="P91" i="17"/>
  <c r="O91" i="17"/>
  <c r="O90" i="17"/>
  <c r="P90" i="17" s="1"/>
  <c r="O89" i="17"/>
  <c r="P89" i="17" s="1"/>
  <c r="P88" i="17"/>
  <c r="O88" i="17"/>
  <c r="P87" i="17"/>
  <c r="O87" i="17"/>
  <c r="O86" i="17"/>
  <c r="P86" i="17" s="1"/>
  <c r="O85" i="17"/>
  <c r="P85" i="17" s="1"/>
  <c r="P84" i="17"/>
  <c r="O84" i="17"/>
  <c r="P83" i="17"/>
  <c r="O83" i="17"/>
  <c r="O82" i="17"/>
  <c r="P82" i="17" s="1"/>
  <c r="O81" i="17"/>
  <c r="P81" i="17" s="1"/>
  <c r="P80" i="17"/>
  <c r="O80" i="17"/>
  <c r="P79" i="17"/>
  <c r="O79" i="17"/>
  <c r="O78" i="17"/>
  <c r="P78" i="17" s="1"/>
  <c r="O77" i="17"/>
  <c r="P77" i="17" s="1"/>
  <c r="P76" i="17"/>
  <c r="O76" i="17"/>
  <c r="P75" i="17"/>
  <c r="O75" i="17"/>
  <c r="O74" i="17"/>
  <c r="P74" i="17" s="1"/>
  <c r="O73" i="17"/>
  <c r="P73" i="17" s="1"/>
  <c r="P72" i="17"/>
  <c r="O72" i="17"/>
  <c r="P71" i="17"/>
  <c r="O71" i="17"/>
  <c r="O70" i="17"/>
  <c r="P70" i="17" s="1"/>
  <c r="O69" i="17"/>
  <c r="P69" i="17" s="1"/>
  <c r="P68" i="17"/>
  <c r="O68" i="17"/>
  <c r="P67" i="17"/>
  <c r="O67" i="17"/>
  <c r="O66" i="17"/>
  <c r="P66" i="17" s="1"/>
  <c r="O65" i="17"/>
  <c r="P65" i="17" s="1"/>
  <c r="P64" i="17"/>
  <c r="O64" i="17"/>
  <c r="P63" i="17"/>
  <c r="O63" i="17"/>
  <c r="O62" i="17"/>
  <c r="P62" i="17" s="1"/>
  <c r="O61" i="17"/>
  <c r="P61" i="17" s="1"/>
  <c r="P60" i="17"/>
  <c r="O60" i="17"/>
  <c r="P59" i="17"/>
  <c r="O59" i="17"/>
  <c r="O58" i="17"/>
  <c r="P58" i="17" s="1"/>
  <c r="O57" i="17"/>
  <c r="P57" i="17" s="1"/>
  <c r="P56" i="17"/>
  <c r="O56" i="17"/>
  <c r="P55" i="17"/>
  <c r="O55" i="17"/>
  <c r="O54" i="17"/>
  <c r="P54" i="17" s="1"/>
  <c r="O53" i="17"/>
  <c r="P53" i="17" s="1"/>
  <c r="P52" i="17"/>
  <c r="O52" i="17"/>
  <c r="P51" i="17"/>
  <c r="O51" i="17"/>
  <c r="O50" i="17"/>
  <c r="P50" i="17" s="1"/>
  <c r="O49" i="17"/>
  <c r="P49" i="17" s="1"/>
  <c r="P48" i="17"/>
  <c r="O48" i="17"/>
  <c r="P47" i="17"/>
  <c r="O47" i="17"/>
  <c r="O46" i="17"/>
  <c r="P46" i="17" s="1"/>
  <c r="O45" i="17"/>
  <c r="P45" i="17" s="1"/>
  <c r="P44" i="17"/>
  <c r="O44" i="17"/>
  <c r="P43" i="17"/>
  <c r="O43" i="17"/>
  <c r="O42" i="17"/>
  <c r="P42" i="17" s="1"/>
  <c r="O41" i="17"/>
  <c r="P41" i="17" s="1"/>
  <c r="P40" i="17"/>
  <c r="O40" i="17"/>
  <c r="P39" i="17"/>
  <c r="O39" i="17"/>
  <c r="O38" i="17"/>
  <c r="P38" i="17" s="1"/>
  <c r="O37" i="17"/>
  <c r="P37" i="17" s="1"/>
  <c r="P36" i="17"/>
  <c r="O36" i="17"/>
  <c r="P35" i="17"/>
  <c r="O35" i="17"/>
  <c r="O34" i="17"/>
  <c r="P34" i="17" s="1"/>
  <c r="O33" i="17"/>
  <c r="P33" i="17" s="1"/>
  <c r="P32" i="17"/>
  <c r="O32" i="17"/>
  <c r="P31" i="17"/>
  <c r="O31" i="17"/>
  <c r="O30" i="17"/>
  <c r="P30" i="17" s="1"/>
  <c r="O29" i="17"/>
  <c r="P29" i="17" s="1"/>
  <c r="P28" i="17"/>
  <c r="O28" i="17"/>
  <c r="P27" i="17"/>
  <c r="O27" i="17"/>
  <c r="O26" i="17"/>
  <c r="P26" i="17" s="1"/>
  <c r="O25" i="17"/>
  <c r="P25" i="17" s="1"/>
  <c r="P24" i="17"/>
  <c r="O24" i="17"/>
  <c r="P23" i="17"/>
  <c r="O23" i="17"/>
  <c r="O22" i="17"/>
  <c r="P22" i="17" s="1"/>
  <c r="O21" i="17"/>
  <c r="P21" i="17" s="1"/>
  <c r="P20" i="17"/>
  <c r="O20" i="17"/>
  <c r="P19" i="17"/>
  <c r="O19" i="17"/>
  <c r="O18" i="17"/>
  <c r="P18" i="17" s="1"/>
  <c r="O17" i="17"/>
  <c r="P17" i="17" s="1"/>
  <c r="P16" i="17"/>
  <c r="O16" i="17"/>
  <c r="W514" i="15"/>
  <c r="W513" i="15"/>
  <c r="W512" i="15"/>
  <c r="W511" i="15"/>
  <c r="W510" i="15"/>
  <c r="W509" i="15"/>
  <c r="W508" i="15"/>
  <c r="W507" i="15"/>
  <c r="W506" i="15"/>
  <c r="W505" i="15"/>
  <c r="W504" i="15"/>
  <c r="W503" i="15"/>
  <c r="W502" i="15"/>
  <c r="W501" i="15"/>
  <c r="W500" i="15"/>
  <c r="W499" i="15"/>
  <c r="W498" i="15"/>
  <c r="W497" i="15"/>
  <c r="W496" i="15"/>
  <c r="W495" i="15"/>
  <c r="W494" i="15"/>
  <c r="W493" i="15"/>
  <c r="W492" i="15"/>
  <c r="W491" i="15"/>
  <c r="W490" i="15"/>
  <c r="W489" i="15"/>
  <c r="W488" i="15"/>
  <c r="W487" i="15"/>
  <c r="W486" i="15"/>
  <c r="W485" i="15"/>
  <c r="W484" i="15"/>
  <c r="W483" i="15"/>
  <c r="W482" i="15"/>
  <c r="W481" i="15"/>
  <c r="W480" i="15"/>
  <c r="W479" i="15"/>
  <c r="W478" i="15"/>
  <c r="W477" i="15"/>
  <c r="W476" i="15"/>
  <c r="W475" i="15"/>
  <c r="W474" i="15"/>
  <c r="W473" i="15"/>
  <c r="W472" i="15"/>
  <c r="W471" i="15"/>
  <c r="W470" i="15"/>
  <c r="W469" i="15"/>
  <c r="W468" i="15"/>
  <c r="W467" i="15"/>
  <c r="W466" i="15"/>
  <c r="W465" i="15"/>
  <c r="W464" i="15"/>
  <c r="W463" i="15"/>
  <c r="W462" i="15"/>
  <c r="W461" i="15"/>
  <c r="W460" i="15"/>
  <c r="W459" i="15"/>
  <c r="W458" i="15"/>
  <c r="W457" i="15"/>
  <c r="W456" i="15"/>
  <c r="W455" i="15"/>
  <c r="W454" i="15"/>
  <c r="W453" i="15"/>
  <c r="W452" i="15"/>
  <c r="W451" i="15"/>
  <c r="W450" i="15"/>
  <c r="W449" i="15"/>
  <c r="W448" i="15"/>
  <c r="W447" i="15"/>
  <c r="W446" i="15"/>
  <c r="W445" i="15"/>
  <c r="W444" i="15"/>
  <c r="W443" i="15"/>
  <c r="W442" i="15"/>
  <c r="W441" i="15"/>
  <c r="W440" i="15"/>
  <c r="W439" i="15"/>
  <c r="W438" i="15"/>
  <c r="W437" i="15"/>
  <c r="W436" i="15"/>
  <c r="W435" i="15"/>
  <c r="W434" i="15"/>
  <c r="W433" i="15"/>
  <c r="W432" i="15"/>
  <c r="W431" i="15"/>
  <c r="W430" i="15"/>
  <c r="W429" i="15"/>
  <c r="W428" i="15"/>
  <c r="W427" i="15"/>
  <c r="W426" i="15"/>
  <c r="W425" i="15"/>
  <c r="W424" i="15"/>
  <c r="W423" i="15"/>
  <c r="W422" i="15"/>
  <c r="W421" i="15"/>
  <c r="W420" i="15"/>
  <c r="W419" i="15"/>
  <c r="W418" i="15"/>
  <c r="W417" i="15"/>
  <c r="W416" i="15"/>
  <c r="W415" i="15"/>
  <c r="W414" i="15"/>
  <c r="W413" i="15"/>
  <c r="W412" i="15"/>
  <c r="W411" i="15"/>
  <c r="W410" i="15"/>
  <c r="W409" i="15"/>
  <c r="W408" i="15"/>
  <c r="W407" i="15"/>
  <c r="W406" i="15"/>
  <c r="W405" i="15"/>
  <c r="W404" i="15"/>
  <c r="W403" i="15"/>
  <c r="W402" i="15"/>
  <c r="W401" i="15"/>
  <c r="W400" i="15"/>
  <c r="W399" i="15"/>
  <c r="W398" i="15"/>
  <c r="W397" i="15"/>
  <c r="W396" i="15"/>
  <c r="W395" i="15"/>
  <c r="W394" i="15"/>
  <c r="W393" i="15"/>
  <c r="W392" i="15"/>
  <c r="W391" i="15"/>
  <c r="W390" i="15"/>
  <c r="W389" i="15"/>
  <c r="W388" i="15"/>
  <c r="W387" i="15"/>
  <c r="W386" i="15"/>
  <c r="W385" i="15"/>
  <c r="W384" i="15"/>
  <c r="W383" i="15"/>
  <c r="W382" i="15"/>
  <c r="W381" i="15"/>
  <c r="W380" i="15"/>
  <c r="W379" i="15"/>
  <c r="W378" i="15"/>
  <c r="W377" i="15"/>
  <c r="W376" i="15"/>
  <c r="W375" i="15"/>
  <c r="W374" i="15"/>
  <c r="W373" i="15"/>
  <c r="W372" i="15"/>
  <c r="W371" i="15"/>
  <c r="W370" i="15"/>
  <c r="W369" i="15"/>
  <c r="W368" i="15"/>
  <c r="W367" i="15"/>
  <c r="W366" i="15"/>
  <c r="W365" i="15"/>
  <c r="W364" i="15"/>
  <c r="W363" i="15"/>
  <c r="W362" i="15"/>
  <c r="W361" i="15"/>
  <c r="W360" i="15"/>
  <c r="W359" i="15"/>
  <c r="W358" i="15"/>
  <c r="W357" i="15"/>
  <c r="W356" i="15"/>
  <c r="W355" i="15"/>
  <c r="W354" i="15"/>
  <c r="W353" i="15"/>
  <c r="W352" i="15"/>
  <c r="W351" i="15"/>
  <c r="W350" i="15"/>
  <c r="W349" i="15"/>
  <c r="W348" i="15"/>
  <c r="W347" i="15"/>
  <c r="W346" i="15"/>
  <c r="W345" i="15"/>
  <c r="W344" i="15"/>
  <c r="W343" i="15"/>
  <c r="W342" i="15"/>
  <c r="W341" i="15"/>
  <c r="W340" i="15"/>
  <c r="W339" i="15"/>
  <c r="W338" i="15"/>
  <c r="W337" i="15"/>
  <c r="W336" i="15"/>
  <c r="W335" i="15"/>
  <c r="W334" i="15"/>
  <c r="W333" i="15"/>
  <c r="W332" i="15"/>
  <c r="W331" i="15"/>
  <c r="W330" i="15"/>
  <c r="W329" i="15"/>
  <c r="W328" i="15"/>
  <c r="W327" i="15"/>
  <c r="W326" i="15"/>
  <c r="W325" i="15"/>
  <c r="W324" i="15"/>
  <c r="W323" i="15"/>
  <c r="W322" i="15"/>
  <c r="W321" i="15"/>
  <c r="W320" i="15"/>
  <c r="W319" i="15"/>
  <c r="W318" i="15"/>
  <c r="W317" i="15"/>
  <c r="W316" i="15"/>
  <c r="W315" i="15"/>
  <c r="W314" i="15"/>
  <c r="W313" i="15"/>
  <c r="W312" i="15"/>
  <c r="W311" i="15"/>
  <c r="W310" i="15"/>
  <c r="W309" i="15"/>
  <c r="W308" i="15"/>
  <c r="W307" i="15"/>
  <c r="W306" i="15"/>
  <c r="W305" i="15"/>
  <c r="W304" i="15"/>
  <c r="W303" i="15"/>
  <c r="W302" i="15"/>
  <c r="W301" i="15"/>
  <c r="W300" i="15"/>
  <c r="W299" i="15"/>
  <c r="W298" i="15"/>
  <c r="W297" i="15"/>
  <c r="W296" i="15"/>
  <c r="W295" i="15"/>
  <c r="W294" i="15"/>
  <c r="W293" i="15"/>
  <c r="W292" i="15"/>
  <c r="W291" i="15"/>
  <c r="W290" i="15"/>
  <c r="W289" i="15"/>
  <c r="W288" i="15"/>
  <c r="W287" i="15"/>
  <c r="W286" i="15"/>
  <c r="W285" i="15"/>
  <c r="W284" i="15"/>
  <c r="W283" i="15"/>
  <c r="W282" i="15"/>
  <c r="W281" i="15"/>
  <c r="W280" i="15"/>
  <c r="W279" i="15"/>
  <c r="W278" i="15"/>
  <c r="W277" i="15"/>
  <c r="W276" i="15"/>
  <c r="W275" i="15"/>
  <c r="W274" i="15"/>
  <c r="W273" i="15"/>
  <c r="W272" i="15"/>
  <c r="W271" i="15"/>
  <c r="W270" i="15"/>
  <c r="W269" i="15"/>
  <c r="W268" i="15"/>
  <c r="W267" i="15"/>
  <c r="W266" i="15"/>
  <c r="W265" i="15"/>
  <c r="W264" i="15"/>
  <c r="W263" i="15"/>
  <c r="W262" i="15"/>
  <c r="W261" i="15"/>
  <c r="W260" i="15"/>
  <c r="W259" i="15"/>
  <c r="W258" i="15"/>
  <c r="W257" i="15"/>
  <c r="W256" i="15"/>
  <c r="W255" i="15"/>
  <c r="W254" i="15"/>
  <c r="W253" i="15"/>
  <c r="W252" i="15"/>
  <c r="W251" i="15"/>
  <c r="W250" i="15"/>
  <c r="W249" i="15"/>
  <c r="W248" i="15"/>
  <c r="W247" i="15"/>
  <c r="W246" i="15"/>
  <c r="W245" i="15"/>
  <c r="W244" i="15"/>
  <c r="W243" i="15"/>
  <c r="W242" i="15"/>
  <c r="W241" i="15"/>
  <c r="W240" i="15"/>
  <c r="W239" i="15"/>
  <c r="W238" i="15"/>
  <c r="W237" i="15"/>
  <c r="W236" i="15"/>
  <c r="W235" i="15"/>
  <c r="W234" i="15"/>
  <c r="W233" i="15"/>
  <c r="W232" i="15"/>
  <c r="W231" i="15"/>
  <c r="W230" i="15"/>
  <c r="W229" i="15"/>
  <c r="W228" i="15"/>
  <c r="W227" i="15"/>
  <c r="W226" i="15"/>
  <c r="W225" i="15"/>
  <c r="W224" i="15"/>
  <c r="W223" i="15"/>
  <c r="W222" i="15"/>
  <c r="W221" i="15"/>
  <c r="W220" i="15"/>
  <c r="W219" i="15"/>
  <c r="W218" i="15"/>
  <c r="W217" i="15"/>
  <c r="W216" i="15"/>
  <c r="W215" i="15"/>
  <c r="W214" i="15"/>
  <c r="W213" i="15"/>
  <c r="W212" i="15"/>
  <c r="W211" i="15"/>
  <c r="W210" i="15"/>
  <c r="W209" i="15"/>
  <c r="W208" i="15"/>
  <c r="W207" i="15"/>
  <c r="W206" i="15"/>
  <c r="W205" i="15"/>
  <c r="W204" i="15"/>
  <c r="W203" i="15"/>
  <c r="W202" i="15"/>
  <c r="W201" i="15"/>
  <c r="W200" i="15"/>
  <c r="W199" i="15"/>
  <c r="W198" i="15"/>
  <c r="W197" i="15"/>
  <c r="W196" i="15"/>
  <c r="W195" i="15"/>
  <c r="W194" i="15"/>
  <c r="W193" i="15"/>
  <c r="W192" i="15"/>
  <c r="W191" i="15"/>
  <c r="W190" i="15"/>
  <c r="W189" i="15"/>
  <c r="W188" i="15"/>
  <c r="W187" i="15"/>
  <c r="W186" i="15"/>
  <c r="W185" i="15"/>
  <c r="W184" i="15"/>
  <c r="W183" i="15"/>
  <c r="W182" i="15"/>
  <c r="W181" i="15"/>
  <c r="W180" i="15"/>
  <c r="W179" i="15"/>
  <c r="W178" i="15"/>
  <c r="W177" i="15"/>
  <c r="W176" i="15"/>
  <c r="W175" i="15"/>
  <c r="W174" i="15"/>
  <c r="W173" i="15"/>
  <c r="W172" i="15"/>
  <c r="W171" i="15"/>
  <c r="W170" i="15"/>
  <c r="W169" i="15"/>
  <c r="W168" i="15"/>
  <c r="W167" i="15"/>
  <c r="W166" i="15"/>
  <c r="W165" i="15"/>
  <c r="W164" i="15"/>
  <c r="W163" i="15"/>
  <c r="W162" i="15"/>
  <c r="W161" i="15"/>
  <c r="W160" i="15"/>
  <c r="W159" i="15"/>
  <c r="W158" i="15"/>
  <c r="W157" i="15"/>
  <c r="W156" i="15"/>
  <c r="W155" i="15"/>
  <c r="W154" i="15"/>
  <c r="W153" i="15"/>
  <c r="W152" i="15"/>
  <c r="W151" i="15"/>
  <c r="W150" i="15"/>
  <c r="W149" i="15"/>
  <c r="W148" i="15"/>
  <c r="W147" i="15"/>
  <c r="W146" i="15"/>
  <c r="W145" i="15"/>
  <c r="W144" i="15"/>
  <c r="W143" i="15"/>
  <c r="W142" i="15"/>
  <c r="W141" i="15"/>
  <c r="W140" i="15"/>
  <c r="W139" i="15"/>
  <c r="W138" i="15"/>
  <c r="W137" i="15"/>
  <c r="W136" i="15"/>
  <c r="W135" i="15"/>
  <c r="W134" i="15"/>
  <c r="W133" i="15"/>
  <c r="W132" i="15"/>
  <c r="W131" i="15"/>
  <c r="W130" i="15"/>
  <c r="W129" i="15"/>
  <c r="W128" i="15"/>
  <c r="W127" i="15"/>
  <c r="W126" i="15"/>
  <c r="W125" i="15"/>
  <c r="W124" i="15"/>
  <c r="W123" i="15"/>
  <c r="W122" i="15"/>
  <c r="W121" i="15"/>
  <c r="W120" i="15"/>
  <c r="W119" i="15"/>
  <c r="W118" i="15"/>
  <c r="W117" i="15"/>
  <c r="W116" i="15"/>
  <c r="W115" i="15"/>
  <c r="W114" i="15"/>
  <c r="W113" i="15"/>
  <c r="W112" i="15"/>
  <c r="W111" i="15"/>
  <c r="W110" i="15"/>
  <c r="W109" i="15"/>
  <c r="W108" i="15"/>
  <c r="W107" i="15"/>
  <c r="W106" i="15"/>
  <c r="W105" i="15"/>
  <c r="W104" i="15"/>
  <c r="W103" i="15"/>
  <c r="W102" i="15"/>
  <c r="W101" i="15"/>
  <c r="W100" i="15"/>
  <c r="W99" i="15"/>
  <c r="W98" i="15"/>
  <c r="W97" i="15"/>
  <c r="W96" i="15"/>
  <c r="W95" i="15"/>
  <c r="W94" i="15"/>
  <c r="W93" i="15"/>
  <c r="W92" i="15"/>
  <c r="W91" i="15"/>
  <c r="W90" i="15"/>
  <c r="W89" i="15"/>
  <c r="W88" i="15"/>
  <c r="W87" i="15"/>
  <c r="W86" i="15"/>
  <c r="W85" i="15"/>
  <c r="W84" i="15"/>
  <c r="W83" i="15"/>
  <c r="W82" i="15"/>
  <c r="W81" i="15"/>
  <c r="W80" i="15"/>
  <c r="W79" i="15"/>
  <c r="W78" i="15"/>
  <c r="W77" i="15"/>
  <c r="W76" i="15"/>
  <c r="W75" i="15"/>
  <c r="W74" i="15"/>
  <c r="W73" i="15"/>
  <c r="W72" i="15"/>
  <c r="W71" i="15"/>
  <c r="W70" i="15"/>
  <c r="W69" i="15"/>
  <c r="W68" i="15"/>
  <c r="W67" i="15"/>
  <c r="W66" i="15"/>
  <c r="W65" i="15"/>
  <c r="W64" i="15"/>
  <c r="W63" i="15"/>
  <c r="W62" i="15"/>
  <c r="W61" i="15"/>
  <c r="W60" i="15"/>
  <c r="W59" i="15"/>
  <c r="W58" i="15"/>
  <c r="W57" i="15"/>
  <c r="W56" i="15"/>
  <c r="W55" i="15"/>
  <c r="W54" i="15"/>
  <c r="W53" i="15"/>
  <c r="W52" i="15"/>
  <c r="W51" i="15"/>
  <c r="W50" i="15"/>
  <c r="W49" i="15"/>
  <c r="W48" i="15"/>
  <c r="W47" i="15"/>
  <c r="W46" i="15"/>
  <c r="W45" i="15"/>
  <c r="W44" i="15"/>
  <c r="W43" i="15"/>
  <c r="W42" i="15"/>
  <c r="W41" i="15"/>
  <c r="W40" i="15"/>
  <c r="W39" i="15"/>
  <c r="W38" i="15"/>
  <c r="W37" i="15"/>
  <c r="W36" i="15"/>
  <c r="W35" i="15"/>
  <c r="W34" i="15"/>
  <c r="W33" i="15"/>
  <c r="W32" i="15"/>
  <c r="W31" i="15"/>
  <c r="W30" i="15"/>
  <c r="W29" i="15"/>
  <c r="W28" i="15"/>
  <c r="W27" i="15"/>
  <c r="W26" i="15"/>
  <c r="W25" i="15"/>
  <c r="W24" i="15"/>
  <c r="W23" i="15"/>
  <c r="W22" i="15"/>
  <c r="W21" i="15"/>
  <c r="W20" i="15"/>
  <c r="W19" i="15"/>
  <c r="W18" i="15"/>
  <c r="W17" i="15"/>
  <c r="W16" i="15"/>
  <c r="O514" i="15"/>
  <c r="P514" i="15" s="1"/>
  <c r="O513" i="15"/>
  <c r="P513" i="15" s="1"/>
  <c r="P512" i="15"/>
  <c r="O512" i="15"/>
  <c r="O511" i="15"/>
  <c r="P511" i="15" s="1"/>
  <c r="O510" i="15"/>
  <c r="P510" i="15" s="1"/>
  <c r="O509" i="15"/>
  <c r="P509" i="15" s="1"/>
  <c r="P508" i="15"/>
  <c r="O508" i="15"/>
  <c r="O507" i="15"/>
  <c r="P507" i="15" s="1"/>
  <c r="O506" i="15"/>
  <c r="P506" i="15" s="1"/>
  <c r="O505" i="15"/>
  <c r="P505" i="15" s="1"/>
  <c r="P504" i="15"/>
  <c r="O504" i="15"/>
  <c r="O503" i="15"/>
  <c r="P503" i="15" s="1"/>
  <c r="O502" i="15"/>
  <c r="P502" i="15" s="1"/>
  <c r="O501" i="15"/>
  <c r="P501" i="15" s="1"/>
  <c r="P500" i="15"/>
  <c r="O500" i="15"/>
  <c r="O499" i="15"/>
  <c r="P499" i="15" s="1"/>
  <c r="O498" i="15"/>
  <c r="P498" i="15" s="1"/>
  <c r="O497" i="15"/>
  <c r="P497" i="15" s="1"/>
  <c r="P496" i="15"/>
  <c r="O496" i="15"/>
  <c r="O495" i="15"/>
  <c r="P495" i="15" s="1"/>
  <c r="O494" i="15"/>
  <c r="P494" i="15" s="1"/>
  <c r="O493" i="15"/>
  <c r="P493" i="15" s="1"/>
  <c r="P492" i="15"/>
  <c r="O492" i="15"/>
  <c r="O491" i="15"/>
  <c r="P491" i="15" s="1"/>
  <c r="O490" i="15"/>
  <c r="P490" i="15" s="1"/>
  <c r="O489" i="15"/>
  <c r="P489" i="15" s="1"/>
  <c r="P488" i="15"/>
  <c r="O488" i="15"/>
  <c r="O487" i="15"/>
  <c r="P487" i="15" s="1"/>
  <c r="O486" i="15"/>
  <c r="P486" i="15" s="1"/>
  <c r="O485" i="15"/>
  <c r="P485" i="15" s="1"/>
  <c r="P484" i="15"/>
  <c r="O484" i="15"/>
  <c r="O483" i="15"/>
  <c r="P483" i="15" s="1"/>
  <c r="O482" i="15"/>
  <c r="P482" i="15" s="1"/>
  <c r="O481" i="15"/>
  <c r="P481" i="15" s="1"/>
  <c r="P480" i="15"/>
  <c r="O480" i="15"/>
  <c r="O479" i="15"/>
  <c r="P479" i="15" s="1"/>
  <c r="O478" i="15"/>
  <c r="P478" i="15" s="1"/>
  <c r="O477" i="15"/>
  <c r="P477" i="15" s="1"/>
  <c r="P476" i="15"/>
  <c r="O476" i="15"/>
  <c r="O475" i="15"/>
  <c r="P475" i="15" s="1"/>
  <c r="O474" i="15"/>
  <c r="P474" i="15" s="1"/>
  <c r="O473" i="15"/>
  <c r="P473" i="15" s="1"/>
  <c r="P472" i="15"/>
  <c r="O472" i="15"/>
  <c r="O471" i="15"/>
  <c r="P471" i="15" s="1"/>
  <c r="O470" i="15"/>
  <c r="P470" i="15" s="1"/>
  <c r="O469" i="15"/>
  <c r="P469" i="15" s="1"/>
  <c r="P468" i="15"/>
  <c r="O468" i="15"/>
  <c r="O467" i="15"/>
  <c r="P467" i="15" s="1"/>
  <c r="O466" i="15"/>
  <c r="P466" i="15" s="1"/>
  <c r="O465" i="15"/>
  <c r="P465" i="15" s="1"/>
  <c r="P464" i="15"/>
  <c r="O464" i="15"/>
  <c r="O463" i="15"/>
  <c r="P463" i="15" s="1"/>
  <c r="O462" i="15"/>
  <c r="P462" i="15" s="1"/>
  <c r="O461" i="15"/>
  <c r="P461" i="15" s="1"/>
  <c r="P460" i="15"/>
  <c r="O460" i="15"/>
  <c r="O459" i="15"/>
  <c r="P459" i="15" s="1"/>
  <c r="O458" i="15"/>
  <c r="P458" i="15" s="1"/>
  <c r="O457" i="15"/>
  <c r="P457" i="15" s="1"/>
  <c r="P456" i="15"/>
  <c r="O456" i="15"/>
  <c r="O455" i="15"/>
  <c r="P455" i="15" s="1"/>
  <c r="O454" i="15"/>
  <c r="P454" i="15" s="1"/>
  <c r="O453" i="15"/>
  <c r="P453" i="15" s="1"/>
  <c r="P452" i="15"/>
  <c r="O452" i="15"/>
  <c r="O451" i="15"/>
  <c r="P451" i="15" s="1"/>
  <c r="O450" i="15"/>
  <c r="P450" i="15" s="1"/>
  <c r="O449" i="15"/>
  <c r="P449" i="15" s="1"/>
  <c r="P448" i="15"/>
  <c r="O448" i="15"/>
  <c r="O447" i="15"/>
  <c r="P447" i="15" s="1"/>
  <c r="O446" i="15"/>
  <c r="P446" i="15" s="1"/>
  <c r="O445" i="15"/>
  <c r="P445" i="15" s="1"/>
  <c r="P444" i="15"/>
  <c r="O444" i="15"/>
  <c r="O443" i="15"/>
  <c r="P443" i="15" s="1"/>
  <c r="O442" i="15"/>
  <c r="P442" i="15" s="1"/>
  <c r="O441" i="15"/>
  <c r="P441" i="15" s="1"/>
  <c r="P440" i="15"/>
  <c r="O440" i="15"/>
  <c r="O439" i="15"/>
  <c r="P439" i="15" s="1"/>
  <c r="O438" i="15"/>
  <c r="P438" i="15" s="1"/>
  <c r="O437" i="15"/>
  <c r="P437" i="15" s="1"/>
  <c r="P436" i="15"/>
  <c r="O436" i="15"/>
  <c r="O435" i="15"/>
  <c r="P435" i="15" s="1"/>
  <c r="O434" i="15"/>
  <c r="P434" i="15" s="1"/>
  <c r="O433" i="15"/>
  <c r="P433" i="15" s="1"/>
  <c r="P432" i="15"/>
  <c r="O432" i="15"/>
  <c r="O431" i="15"/>
  <c r="P431" i="15" s="1"/>
  <c r="O430" i="15"/>
  <c r="P430" i="15" s="1"/>
  <c r="O429" i="15"/>
  <c r="P429" i="15" s="1"/>
  <c r="P428" i="15"/>
  <c r="O428" i="15"/>
  <c r="O427" i="15"/>
  <c r="P427" i="15" s="1"/>
  <c r="O426" i="15"/>
  <c r="P426" i="15" s="1"/>
  <c r="O425" i="15"/>
  <c r="P425" i="15" s="1"/>
  <c r="P424" i="15"/>
  <c r="O424" i="15"/>
  <c r="O423" i="15"/>
  <c r="P423" i="15" s="1"/>
  <c r="O422" i="15"/>
  <c r="P422" i="15" s="1"/>
  <c r="O421" i="15"/>
  <c r="P421" i="15" s="1"/>
  <c r="P420" i="15"/>
  <c r="O420" i="15"/>
  <c r="O419" i="15"/>
  <c r="P419" i="15" s="1"/>
  <c r="O418" i="15"/>
  <c r="P418" i="15" s="1"/>
  <c r="O417" i="15"/>
  <c r="P417" i="15" s="1"/>
  <c r="P416" i="15"/>
  <c r="O416" i="15"/>
  <c r="O415" i="15"/>
  <c r="P415" i="15" s="1"/>
  <c r="O414" i="15"/>
  <c r="P414" i="15" s="1"/>
  <c r="O413" i="15"/>
  <c r="P413" i="15" s="1"/>
  <c r="P412" i="15"/>
  <c r="O412" i="15"/>
  <c r="O411" i="15"/>
  <c r="P411" i="15" s="1"/>
  <c r="O410" i="15"/>
  <c r="P410" i="15" s="1"/>
  <c r="O409" i="15"/>
  <c r="P409" i="15" s="1"/>
  <c r="P408" i="15"/>
  <c r="O408" i="15"/>
  <c r="O407" i="15"/>
  <c r="P407" i="15" s="1"/>
  <c r="O406" i="15"/>
  <c r="P406" i="15" s="1"/>
  <c r="O405" i="15"/>
  <c r="P405" i="15" s="1"/>
  <c r="P404" i="15"/>
  <c r="O404" i="15"/>
  <c r="O403" i="15"/>
  <c r="P403" i="15" s="1"/>
  <c r="O402" i="15"/>
  <c r="P402" i="15" s="1"/>
  <c r="O401" i="15"/>
  <c r="P401" i="15" s="1"/>
  <c r="P400" i="15"/>
  <c r="O400" i="15"/>
  <c r="O399" i="15"/>
  <c r="P399" i="15" s="1"/>
  <c r="O398" i="15"/>
  <c r="P398" i="15" s="1"/>
  <c r="O397" i="15"/>
  <c r="P397" i="15" s="1"/>
  <c r="P396" i="15"/>
  <c r="O396" i="15"/>
  <c r="O395" i="15"/>
  <c r="P395" i="15" s="1"/>
  <c r="O394" i="15"/>
  <c r="P394" i="15" s="1"/>
  <c r="O393" i="15"/>
  <c r="P393" i="15" s="1"/>
  <c r="P392" i="15"/>
  <c r="O392" i="15"/>
  <c r="O391" i="15"/>
  <c r="P391" i="15" s="1"/>
  <c r="O390" i="15"/>
  <c r="P390" i="15" s="1"/>
  <c r="O389" i="15"/>
  <c r="P389" i="15" s="1"/>
  <c r="P388" i="15"/>
  <c r="O388" i="15"/>
  <c r="O387" i="15"/>
  <c r="P387" i="15" s="1"/>
  <c r="O386" i="15"/>
  <c r="P386" i="15" s="1"/>
  <c r="O385" i="15"/>
  <c r="P385" i="15" s="1"/>
  <c r="P384" i="15"/>
  <c r="O384" i="15"/>
  <c r="O383" i="15"/>
  <c r="P383" i="15" s="1"/>
  <c r="O382" i="15"/>
  <c r="P382" i="15" s="1"/>
  <c r="O381" i="15"/>
  <c r="P381" i="15" s="1"/>
  <c r="P380" i="15"/>
  <c r="O380" i="15"/>
  <c r="O379" i="15"/>
  <c r="P379" i="15" s="1"/>
  <c r="O378" i="15"/>
  <c r="P378" i="15" s="1"/>
  <c r="O377" i="15"/>
  <c r="P377" i="15" s="1"/>
  <c r="P376" i="15"/>
  <c r="O376" i="15"/>
  <c r="O375" i="15"/>
  <c r="P375" i="15" s="1"/>
  <c r="O374" i="15"/>
  <c r="P374" i="15" s="1"/>
  <c r="O373" i="15"/>
  <c r="P373" i="15" s="1"/>
  <c r="P372" i="15"/>
  <c r="O372" i="15"/>
  <c r="O371" i="15"/>
  <c r="P371" i="15" s="1"/>
  <c r="O370" i="15"/>
  <c r="P370" i="15" s="1"/>
  <c r="O369" i="15"/>
  <c r="P369" i="15" s="1"/>
  <c r="P368" i="15"/>
  <c r="O368" i="15"/>
  <c r="O367" i="15"/>
  <c r="P367" i="15" s="1"/>
  <c r="O366" i="15"/>
  <c r="P366" i="15" s="1"/>
  <c r="O365" i="15"/>
  <c r="P365" i="15" s="1"/>
  <c r="P364" i="15"/>
  <c r="O364" i="15"/>
  <c r="O363" i="15"/>
  <c r="P363" i="15" s="1"/>
  <c r="O362" i="15"/>
  <c r="P362" i="15" s="1"/>
  <c r="O361" i="15"/>
  <c r="P361" i="15" s="1"/>
  <c r="P360" i="15"/>
  <c r="O360" i="15"/>
  <c r="O359" i="15"/>
  <c r="P359" i="15" s="1"/>
  <c r="O358" i="15"/>
  <c r="P358" i="15" s="1"/>
  <c r="O357" i="15"/>
  <c r="P357" i="15" s="1"/>
  <c r="P356" i="15"/>
  <c r="O356" i="15"/>
  <c r="O355" i="15"/>
  <c r="P355" i="15" s="1"/>
  <c r="O354" i="15"/>
  <c r="P354" i="15" s="1"/>
  <c r="O353" i="15"/>
  <c r="P353" i="15" s="1"/>
  <c r="P352" i="15"/>
  <c r="O352" i="15"/>
  <c r="O351" i="15"/>
  <c r="P351" i="15" s="1"/>
  <c r="O350" i="15"/>
  <c r="P350" i="15" s="1"/>
  <c r="O349" i="15"/>
  <c r="P349" i="15" s="1"/>
  <c r="P348" i="15"/>
  <c r="O348" i="15"/>
  <c r="O347" i="15"/>
  <c r="P347" i="15" s="1"/>
  <c r="O346" i="15"/>
  <c r="P346" i="15" s="1"/>
  <c r="O345" i="15"/>
  <c r="P345" i="15" s="1"/>
  <c r="P344" i="15"/>
  <c r="O344" i="15"/>
  <c r="O343" i="15"/>
  <c r="P343" i="15" s="1"/>
  <c r="O342" i="15"/>
  <c r="P342" i="15" s="1"/>
  <c r="O341" i="15"/>
  <c r="P341" i="15" s="1"/>
  <c r="P340" i="15"/>
  <c r="O340" i="15"/>
  <c r="O339" i="15"/>
  <c r="P339" i="15" s="1"/>
  <c r="O338" i="15"/>
  <c r="P338" i="15" s="1"/>
  <c r="O337" i="15"/>
  <c r="P337" i="15" s="1"/>
  <c r="O336" i="15"/>
  <c r="P336" i="15" s="1"/>
  <c r="O335" i="15"/>
  <c r="P335" i="15" s="1"/>
  <c r="O334" i="15"/>
  <c r="P334" i="15" s="1"/>
  <c r="O333" i="15"/>
  <c r="P333" i="15" s="1"/>
  <c r="O332" i="15"/>
  <c r="P332" i="15" s="1"/>
  <c r="O331" i="15"/>
  <c r="P331" i="15" s="1"/>
  <c r="O330" i="15"/>
  <c r="P330" i="15" s="1"/>
  <c r="O329" i="15"/>
  <c r="P329" i="15" s="1"/>
  <c r="P328" i="15"/>
  <c r="O328" i="15"/>
  <c r="O327" i="15"/>
  <c r="P327" i="15" s="1"/>
  <c r="O326" i="15"/>
  <c r="P326" i="15" s="1"/>
  <c r="O325" i="15"/>
  <c r="P325" i="15" s="1"/>
  <c r="O324" i="15"/>
  <c r="P324" i="15" s="1"/>
  <c r="O323" i="15"/>
  <c r="P323" i="15" s="1"/>
  <c r="O322" i="15"/>
  <c r="P322" i="15" s="1"/>
  <c r="O321" i="15"/>
  <c r="P321" i="15" s="1"/>
  <c r="P320" i="15"/>
  <c r="O320" i="15"/>
  <c r="O319" i="15"/>
  <c r="P319" i="15" s="1"/>
  <c r="O318" i="15"/>
  <c r="P318" i="15" s="1"/>
  <c r="O317" i="15"/>
  <c r="P317" i="15" s="1"/>
  <c r="P316" i="15"/>
  <c r="O316" i="15"/>
  <c r="O315" i="15"/>
  <c r="P315" i="15" s="1"/>
  <c r="O314" i="15"/>
  <c r="P314" i="15" s="1"/>
  <c r="O313" i="15"/>
  <c r="P313" i="15" s="1"/>
  <c r="P312" i="15"/>
  <c r="O312" i="15"/>
  <c r="O311" i="15"/>
  <c r="P311" i="15" s="1"/>
  <c r="O310" i="15"/>
  <c r="P310" i="15" s="1"/>
  <c r="O309" i="15"/>
  <c r="P309" i="15" s="1"/>
  <c r="O308" i="15"/>
  <c r="P308" i="15" s="1"/>
  <c r="O307" i="15"/>
  <c r="P307" i="15" s="1"/>
  <c r="O306" i="15"/>
  <c r="P306" i="15" s="1"/>
  <c r="O305" i="15"/>
  <c r="P305" i="15" s="1"/>
  <c r="O304" i="15"/>
  <c r="P304" i="15" s="1"/>
  <c r="O303" i="15"/>
  <c r="P303" i="15" s="1"/>
  <c r="O302" i="15"/>
  <c r="P302" i="15" s="1"/>
  <c r="O301" i="15"/>
  <c r="P301" i="15" s="1"/>
  <c r="O300" i="15"/>
  <c r="P300" i="15" s="1"/>
  <c r="O299" i="15"/>
  <c r="P299" i="15" s="1"/>
  <c r="O298" i="15"/>
  <c r="P298" i="15" s="1"/>
  <c r="O297" i="15"/>
  <c r="P297" i="15" s="1"/>
  <c r="P296" i="15"/>
  <c r="O296" i="15"/>
  <c r="O295" i="15"/>
  <c r="P295" i="15" s="1"/>
  <c r="O294" i="15"/>
  <c r="P294" i="15" s="1"/>
  <c r="O293" i="15"/>
  <c r="P293" i="15" s="1"/>
  <c r="O292" i="15"/>
  <c r="P292" i="15" s="1"/>
  <c r="O291" i="15"/>
  <c r="P291" i="15" s="1"/>
  <c r="O290" i="15"/>
  <c r="P290" i="15" s="1"/>
  <c r="O289" i="15"/>
  <c r="P289" i="15" s="1"/>
  <c r="P288" i="15"/>
  <c r="O288" i="15"/>
  <c r="O287" i="15"/>
  <c r="P287" i="15" s="1"/>
  <c r="O286" i="15"/>
  <c r="P286" i="15" s="1"/>
  <c r="O285" i="15"/>
  <c r="P285" i="15" s="1"/>
  <c r="P284" i="15"/>
  <c r="O284" i="15"/>
  <c r="O283" i="15"/>
  <c r="P283" i="15" s="1"/>
  <c r="O282" i="15"/>
  <c r="P282" i="15" s="1"/>
  <c r="O281" i="15"/>
  <c r="P281" i="15" s="1"/>
  <c r="P280" i="15"/>
  <c r="O280" i="15"/>
  <c r="O279" i="15"/>
  <c r="P279" i="15" s="1"/>
  <c r="O278" i="15"/>
  <c r="P278" i="15" s="1"/>
  <c r="O277" i="15"/>
  <c r="P277" i="15" s="1"/>
  <c r="O276" i="15"/>
  <c r="P276" i="15" s="1"/>
  <c r="O275" i="15"/>
  <c r="P275" i="15" s="1"/>
  <c r="O274" i="15"/>
  <c r="P274" i="15" s="1"/>
  <c r="O273" i="15"/>
  <c r="P273" i="15" s="1"/>
  <c r="O272" i="15"/>
  <c r="P272" i="15" s="1"/>
  <c r="O271" i="15"/>
  <c r="P271" i="15" s="1"/>
  <c r="O270" i="15"/>
  <c r="P270" i="15" s="1"/>
  <c r="O269" i="15"/>
  <c r="P269" i="15" s="1"/>
  <c r="O268" i="15"/>
  <c r="P268" i="15" s="1"/>
  <c r="O267" i="15"/>
  <c r="P267" i="15" s="1"/>
  <c r="O266" i="15"/>
  <c r="P266" i="15" s="1"/>
  <c r="O265" i="15"/>
  <c r="P265" i="15" s="1"/>
  <c r="P264" i="15"/>
  <c r="O264" i="15"/>
  <c r="O263" i="15"/>
  <c r="P263" i="15" s="1"/>
  <c r="O262" i="15"/>
  <c r="P262" i="15" s="1"/>
  <c r="O261" i="15"/>
  <c r="P261" i="15" s="1"/>
  <c r="O260" i="15"/>
  <c r="P260" i="15" s="1"/>
  <c r="O259" i="15"/>
  <c r="P259" i="15" s="1"/>
  <c r="O258" i="15"/>
  <c r="P258" i="15" s="1"/>
  <c r="O257" i="15"/>
  <c r="P257" i="15" s="1"/>
  <c r="P256" i="15"/>
  <c r="O256" i="15"/>
  <c r="O255" i="15"/>
  <c r="P255" i="15" s="1"/>
  <c r="O254" i="15"/>
  <c r="P254" i="15" s="1"/>
  <c r="O253" i="15"/>
  <c r="P253" i="15" s="1"/>
  <c r="P252" i="15"/>
  <c r="O252" i="15"/>
  <c r="O251" i="15"/>
  <c r="P251" i="15" s="1"/>
  <c r="O250" i="15"/>
  <c r="P250" i="15" s="1"/>
  <c r="O249" i="15"/>
  <c r="P249" i="15" s="1"/>
  <c r="P248" i="15"/>
  <c r="O248" i="15"/>
  <c r="O247" i="15"/>
  <c r="P247" i="15" s="1"/>
  <c r="O246" i="15"/>
  <c r="P246" i="15" s="1"/>
  <c r="O245" i="15"/>
  <c r="P245" i="15" s="1"/>
  <c r="O244" i="15"/>
  <c r="P244" i="15" s="1"/>
  <c r="O243" i="15"/>
  <c r="P243" i="15" s="1"/>
  <c r="O242" i="15"/>
  <c r="P242" i="15" s="1"/>
  <c r="O241" i="15"/>
  <c r="P241" i="15" s="1"/>
  <c r="O240" i="15"/>
  <c r="P240" i="15" s="1"/>
  <c r="O239" i="15"/>
  <c r="P239" i="15" s="1"/>
  <c r="O238" i="15"/>
  <c r="P238" i="15" s="1"/>
  <c r="O237" i="15"/>
  <c r="P237" i="15" s="1"/>
  <c r="O236" i="15"/>
  <c r="P236" i="15" s="1"/>
  <c r="O235" i="15"/>
  <c r="P235" i="15" s="1"/>
  <c r="O234" i="15"/>
  <c r="P234" i="15" s="1"/>
  <c r="O233" i="15"/>
  <c r="P233" i="15" s="1"/>
  <c r="O232" i="15"/>
  <c r="P232" i="15" s="1"/>
  <c r="O231" i="15"/>
  <c r="P231" i="15" s="1"/>
  <c r="P230" i="15"/>
  <c r="O230" i="15"/>
  <c r="O229" i="15"/>
  <c r="P229" i="15" s="1"/>
  <c r="P228" i="15"/>
  <c r="O228" i="15"/>
  <c r="O227" i="15"/>
  <c r="P227" i="15" s="1"/>
  <c r="P226" i="15"/>
  <c r="O226" i="15"/>
  <c r="O225" i="15"/>
  <c r="P225" i="15" s="1"/>
  <c r="O224" i="15"/>
  <c r="P224" i="15" s="1"/>
  <c r="O223" i="15"/>
  <c r="P223" i="15" s="1"/>
  <c r="P222" i="15"/>
  <c r="O222" i="15"/>
  <c r="O221" i="15"/>
  <c r="P221" i="15" s="1"/>
  <c r="O220" i="15"/>
  <c r="P220" i="15" s="1"/>
  <c r="O219" i="15"/>
  <c r="P219" i="15" s="1"/>
  <c r="O218" i="15"/>
  <c r="P218" i="15" s="1"/>
  <c r="O217" i="15"/>
  <c r="P217" i="15" s="1"/>
  <c r="O216" i="15"/>
  <c r="P216" i="15" s="1"/>
  <c r="O215" i="15"/>
  <c r="P215" i="15" s="1"/>
  <c r="P214" i="15"/>
  <c r="O214" i="15"/>
  <c r="O213" i="15"/>
  <c r="P213" i="15" s="1"/>
  <c r="P212" i="15"/>
  <c r="O212" i="15"/>
  <c r="O211" i="15"/>
  <c r="P211" i="15" s="1"/>
  <c r="P210" i="15"/>
  <c r="O210" i="15"/>
  <c r="O209" i="15"/>
  <c r="P209" i="15" s="1"/>
  <c r="O208" i="15"/>
  <c r="P208" i="15" s="1"/>
  <c r="O207" i="15"/>
  <c r="P207" i="15" s="1"/>
  <c r="P206" i="15"/>
  <c r="O206" i="15"/>
  <c r="O205" i="15"/>
  <c r="P205" i="15" s="1"/>
  <c r="O204" i="15"/>
  <c r="P204" i="15" s="1"/>
  <c r="O203" i="15"/>
  <c r="P203" i="15" s="1"/>
  <c r="O202" i="15"/>
  <c r="P202" i="15" s="1"/>
  <c r="O201" i="15"/>
  <c r="P201" i="15" s="1"/>
  <c r="O200" i="15"/>
  <c r="P200" i="15" s="1"/>
  <c r="O199" i="15"/>
  <c r="P199" i="15" s="1"/>
  <c r="P198" i="15"/>
  <c r="O198" i="15"/>
  <c r="O197" i="15"/>
  <c r="P197" i="15" s="1"/>
  <c r="P196" i="15"/>
  <c r="O196" i="15"/>
  <c r="O195" i="15"/>
  <c r="P195" i="15" s="1"/>
  <c r="P194" i="15"/>
  <c r="O194" i="15"/>
  <c r="O193" i="15"/>
  <c r="P193" i="15" s="1"/>
  <c r="O192" i="15"/>
  <c r="P192" i="15" s="1"/>
  <c r="O191" i="15"/>
  <c r="P191" i="15" s="1"/>
  <c r="P190" i="15"/>
  <c r="O190" i="15"/>
  <c r="O189" i="15"/>
  <c r="P189" i="15" s="1"/>
  <c r="O188" i="15"/>
  <c r="P188" i="15" s="1"/>
  <c r="O187" i="15"/>
  <c r="P187" i="15" s="1"/>
  <c r="P186" i="15"/>
  <c r="O186" i="15"/>
  <c r="O185" i="15"/>
  <c r="P185" i="15" s="1"/>
  <c r="P184" i="15"/>
  <c r="O184" i="15"/>
  <c r="P183" i="15"/>
  <c r="O183" i="15"/>
  <c r="O182" i="15"/>
  <c r="P182" i="15" s="1"/>
  <c r="O181" i="15"/>
  <c r="P181" i="15" s="1"/>
  <c r="O180" i="15"/>
  <c r="P180" i="15" s="1"/>
  <c r="O179" i="15"/>
  <c r="P179" i="15" s="1"/>
  <c r="O178" i="15"/>
  <c r="P178" i="15" s="1"/>
  <c r="O177" i="15"/>
  <c r="P177" i="15" s="1"/>
  <c r="P176" i="15"/>
  <c r="O176" i="15"/>
  <c r="P175" i="15"/>
  <c r="O175" i="15"/>
  <c r="P174" i="15"/>
  <c r="O174" i="15"/>
  <c r="O173" i="15"/>
  <c r="P173" i="15" s="1"/>
  <c r="P172" i="15"/>
  <c r="O172" i="15"/>
  <c r="P171" i="15"/>
  <c r="O171" i="15"/>
  <c r="P170" i="15"/>
  <c r="O170" i="15"/>
  <c r="O169" i="15"/>
  <c r="P169" i="15" s="1"/>
  <c r="P168" i="15"/>
  <c r="O168" i="15"/>
  <c r="P167" i="15"/>
  <c r="O167" i="15"/>
  <c r="P166" i="15"/>
  <c r="O166" i="15"/>
  <c r="O165" i="15"/>
  <c r="P165" i="15" s="1"/>
  <c r="P164" i="15"/>
  <c r="O164" i="15"/>
  <c r="P163" i="15"/>
  <c r="O163" i="15"/>
  <c r="P162" i="15"/>
  <c r="O162" i="15"/>
  <c r="O161" i="15"/>
  <c r="P161" i="15" s="1"/>
  <c r="P160" i="15"/>
  <c r="O160" i="15"/>
  <c r="P159" i="15"/>
  <c r="O159" i="15"/>
  <c r="P158" i="15"/>
  <c r="O158" i="15"/>
  <c r="O157" i="15"/>
  <c r="P157" i="15" s="1"/>
  <c r="P156" i="15"/>
  <c r="O156" i="15"/>
  <c r="P155" i="15"/>
  <c r="O155" i="15"/>
  <c r="P154" i="15"/>
  <c r="O154" i="15"/>
  <c r="O153" i="15"/>
  <c r="P153" i="15" s="1"/>
  <c r="P152" i="15"/>
  <c r="O152" i="15"/>
  <c r="P151" i="15"/>
  <c r="O151" i="15"/>
  <c r="P150" i="15"/>
  <c r="O150" i="15"/>
  <c r="O149" i="15"/>
  <c r="P149" i="15" s="1"/>
  <c r="P148" i="15"/>
  <c r="O148" i="15"/>
  <c r="P147" i="15"/>
  <c r="O147" i="15"/>
  <c r="P146" i="15"/>
  <c r="O146" i="15"/>
  <c r="O145" i="15"/>
  <c r="P145" i="15" s="1"/>
  <c r="P144" i="15"/>
  <c r="O144" i="15"/>
  <c r="P143" i="15"/>
  <c r="O143" i="15"/>
  <c r="P142" i="15"/>
  <c r="O142" i="15"/>
  <c r="O141" i="15"/>
  <c r="P141" i="15" s="1"/>
  <c r="P140" i="15"/>
  <c r="O140" i="15"/>
  <c r="P139" i="15"/>
  <c r="O139" i="15"/>
  <c r="P138" i="15"/>
  <c r="O138" i="15"/>
  <c r="O137" i="15"/>
  <c r="P137" i="15" s="1"/>
  <c r="P136" i="15"/>
  <c r="O136" i="15"/>
  <c r="P135" i="15"/>
  <c r="O135" i="15"/>
  <c r="P134" i="15"/>
  <c r="O134" i="15"/>
  <c r="O133" i="15"/>
  <c r="P133" i="15" s="1"/>
  <c r="P132" i="15"/>
  <c r="O132" i="15"/>
  <c r="P131" i="15"/>
  <c r="O131" i="15"/>
  <c r="P130" i="15"/>
  <c r="O130" i="15"/>
  <c r="O129" i="15"/>
  <c r="P129" i="15" s="1"/>
  <c r="P128" i="15"/>
  <c r="O128" i="15"/>
  <c r="P127" i="15"/>
  <c r="O127" i="15"/>
  <c r="P126" i="15"/>
  <c r="O126" i="15"/>
  <c r="O125" i="15"/>
  <c r="P125" i="15" s="1"/>
  <c r="P124" i="15"/>
  <c r="O124" i="15"/>
  <c r="P123" i="15"/>
  <c r="O123" i="15"/>
  <c r="P122" i="15"/>
  <c r="O122" i="15"/>
  <c r="O121" i="15"/>
  <c r="P121" i="15" s="1"/>
  <c r="P120" i="15"/>
  <c r="O120" i="15"/>
  <c r="P119" i="15"/>
  <c r="O119" i="15"/>
  <c r="P118" i="15"/>
  <c r="O118" i="15"/>
  <c r="O117" i="15"/>
  <c r="P117" i="15" s="1"/>
  <c r="P116" i="15"/>
  <c r="O116" i="15"/>
  <c r="P115" i="15"/>
  <c r="O115" i="15"/>
  <c r="P114" i="15"/>
  <c r="O114" i="15"/>
  <c r="O113" i="15"/>
  <c r="P113" i="15" s="1"/>
  <c r="P112" i="15"/>
  <c r="O112" i="15"/>
  <c r="P111" i="15"/>
  <c r="O111" i="15"/>
  <c r="P110" i="15"/>
  <c r="O110" i="15"/>
  <c r="O109" i="15"/>
  <c r="P109" i="15" s="1"/>
  <c r="P108" i="15"/>
  <c r="O108" i="15"/>
  <c r="P107" i="15"/>
  <c r="O107" i="15"/>
  <c r="P106" i="15"/>
  <c r="O106" i="15"/>
  <c r="O105" i="15"/>
  <c r="P105" i="15" s="1"/>
  <c r="P104" i="15"/>
  <c r="O104" i="15"/>
  <c r="P103" i="15"/>
  <c r="O103" i="15"/>
  <c r="P102" i="15"/>
  <c r="O102" i="15"/>
  <c r="O101" i="15"/>
  <c r="P101" i="15" s="1"/>
  <c r="P100" i="15"/>
  <c r="O100" i="15"/>
  <c r="P99" i="15"/>
  <c r="O99" i="15"/>
  <c r="P98" i="15"/>
  <c r="O98" i="15"/>
  <c r="O97" i="15"/>
  <c r="P97" i="15" s="1"/>
  <c r="P96" i="15"/>
  <c r="O96" i="15"/>
  <c r="P95" i="15"/>
  <c r="O95" i="15"/>
  <c r="P94" i="15"/>
  <c r="O94" i="15"/>
  <c r="O93" i="15"/>
  <c r="P93" i="15" s="1"/>
  <c r="P92" i="15"/>
  <c r="O92" i="15"/>
  <c r="P91" i="15"/>
  <c r="O91" i="15"/>
  <c r="P90" i="15"/>
  <c r="O90" i="15"/>
  <c r="O89" i="15"/>
  <c r="P89" i="15" s="1"/>
  <c r="P88" i="15"/>
  <c r="O88" i="15"/>
  <c r="P87" i="15"/>
  <c r="O87" i="15"/>
  <c r="P86" i="15"/>
  <c r="O86" i="15"/>
  <c r="O85" i="15"/>
  <c r="P85" i="15" s="1"/>
  <c r="P84" i="15"/>
  <c r="O84" i="15"/>
  <c r="P83" i="15"/>
  <c r="O83" i="15"/>
  <c r="P82" i="15"/>
  <c r="O82" i="15"/>
  <c r="O81" i="15"/>
  <c r="P81" i="15" s="1"/>
  <c r="P80" i="15"/>
  <c r="O80" i="15"/>
  <c r="P79" i="15"/>
  <c r="O79" i="15"/>
  <c r="P78" i="15"/>
  <c r="O78" i="15"/>
  <c r="O77" i="15"/>
  <c r="P77" i="15" s="1"/>
  <c r="P76" i="15"/>
  <c r="O76" i="15"/>
  <c r="P75" i="15"/>
  <c r="O75" i="15"/>
  <c r="P74" i="15"/>
  <c r="O74" i="15"/>
  <c r="O73" i="15"/>
  <c r="P73" i="15" s="1"/>
  <c r="P72" i="15"/>
  <c r="O72" i="15"/>
  <c r="P71" i="15"/>
  <c r="O71" i="15"/>
  <c r="P70" i="15"/>
  <c r="O70" i="15"/>
  <c r="O69" i="15"/>
  <c r="P69" i="15" s="1"/>
  <c r="P68" i="15"/>
  <c r="O68" i="15"/>
  <c r="P67" i="15"/>
  <c r="O67" i="15"/>
  <c r="P66" i="15"/>
  <c r="O66" i="15"/>
  <c r="O65" i="15"/>
  <c r="P65" i="15" s="1"/>
  <c r="P64" i="15"/>
  <c r="O64" i="15"/>
  <c r="P63" i="15"/>
  <c r="O63" i="15"/>
  <c r="P62" i="15"/>
  <c r="O62" i="15"/>
  <c r="O61" i="15"/>
  <c r="P61" i="15" s="1"/>
  <c r="P60" i="15"/>
  <c r="O60" i="15"/>
  <c r="P59" i="15"/>
  <c r="O59" i="15"/>
  <c r="P58" i="15"/>
  <c r="O58" i="15"/>
  <c r="O57" i="15"/>
  <c r="P57" i="15" s="1"/>
  <c r="P56" i="15"/>
  <c r="O56" i="15"/>
  <c r="P55" i="15"/>
  <c r="O55" i="15"/>
  <c r="P54" i="15"/>
  <c r="O54" i="15"/>
  <c r="O53" i="15"/>
  <c r="P53" i="15" s="1"/>
  <c r="P52" i="15"/>
  <c r="O52" i="15"/>
  <c r="P51" i="15"/>
  <c r="O51" i="15"/>
  <c r="P50" i="15"/>
  <c r="O50" i="15"/>
  <c r="O49" i="15"/>
  <c r="P49" i="15" s="1"/>
  <c r="P48" i="15"/>
  <c r="O48" i="15"/>
  <c r="P47" i="15"/>
  <c r="O47" i="15"/>
  <c r="P46" i="15"/>
  <c r="O46" i="15"/>
  <c r="O45" i="15"/>
  <c r="P45" i="15" s="1"/>
  <c r="P44" i="15"/>
  <c r="O44" i="15"/>
  <c r="P43" i="15"/>
  <c r="O43" i="15"/>
  <c r="P42" i="15"/>
  <c r="O42" i="15"/>
  <c r="O41" i="15"/>
  <c r="P41" i="15" s="1"/>
  <c r="P40" i="15"/>
  <c r="O40" i="15"/>
  <c r="P39" i="15"/>
  <c r="O39" i="15"/>
  <c r="P38" i="15"/>
  <c r="O38" i="15"/>
  <c r="O37" i="15"/>
  <c r="P37" i="15" s="1"/>
  <c r="P36" i="15"/>
  <c r="O36" i="15"/>
  <c r="P35" i="15"/>
  <c r="O35" i="15"/>
  <c r="P34" i="15"/>
  <c r="O34" i="15"/>
  <c r="O33" i="15"/>
  <c r="P33" i="15" s="1"/>
  <c r="P32" i="15"/>
  <c r="O32" i="15"/>
  <c r="P31" i="15"/>
  <c r="O31" i="15"/>
  <c r="P30" i="15"/>
  <c r="O30" i="15"/>
  <c r="O29" i="15"/>
  <c r="P29" i="15" s="1"/>
  <c r="P28" i="15"/>
  <c r="O28" i="15"/>
  <c r="P27" i="15"/>
  <c r="O27" i="15"/>
  <c r="P26" i="15"/>
  <c r="O26" i="15"/>
  <c r="O25" i="15"/>
  <c r="P25" i="15" s="1"/>
  <c r="P24" i="15"/>
  <c r="O24" i="15"/>
  <c r="P23" i="15"/>
  <c r="O23" i="15"/>
  <c r="P22" i="15"/>
  <c r="O22" i="15"/>
  <c r="O21" i="15"/>
  <c r="P21" i="15" s="1"/>
  <c r="P20" i="15"/>
  <c r="O20" i="15"/>
  <c r="P19" i="15"/>
  <c r="O19" i="15"/>
  <c r="P18" i="15"/>
  <c r="O18" i="15"/>
  <c r="O17" i="15"/>
  <c r="P17" i="15" s="1"/>
  <c r="P16" i="15"/>
  <c r="O16" i="15"/>
  <c r="W514" i="14"/>
  <c r="W513" i="14"/>
  <c r="W512" i="14"/>
  <c r="W511" i="14"/>
  <c r="W510" i="14"/>
  <c r="W509" i="14"/>
  <c r="W508" i="14"/>
  <c r="W507" i="14"/>
  <c r="W506" i="14"/>
  <c r="W505" i="14"/>
  <c r="W504" i="14"/>
  <c r="W503" i="14"/>
  <c r="W502" i="14"/>
  <c r="W501" i="14"/>
  <c r="W500" i="14"/>
  <c r="W499" i="14"/>
  <c r="W498" i="14"/>
  <c r="W497" i="14"/>
  <c r="W496" i="14"/>
  <c r="W495" i="14"/>
  <c r="W494" i="14"/>
  <c r="W493" i="14"/>
  <c r="W492" i="14"/>
  <c r="W491" i="14"/>
  <c r="W490" i="14"/>
  <c r="W489" i="14"/>
  <c r="W488" i="14"/>
  <c r="W487" i="14"/>
  <c r="W486" i="14"/>
  <c r="W485" i="14"/>
  <c r="W484" i="14"/>
  <c r="W483" i="14"/>
  <c r="W482" i="14"/>
  <c r="W481" i="14"/>
  <c r="W480" i="14"/>
  <c r="W479" i="14"/>
  <c r="W478" i="14"/>
  <c r="W477" i="14"/>
  <c r="W476" i="14"/>
  <c r="W475" i="14"/>
  <c r="W474" i="14"/>
  <c r="W473" i="14"/>
  <c r="W472" i="14"/>
  <c r="W471" i="14"/>
  <c r="W470" i="14"/>
  <c r="W469" i="14"/>
  <c r="W468" i="14"/>
  <c r="W467" i="14"/>
  <c r="W466" i="14"/>
  <c r="W465" i="14"/>
  <c r="W464" i="14"/>
  <c r="W463" i="14"/>
  <c r="W462" i="14"/>
  <c r="W461" i="14"/>
  <c r="W460" i="14"/>
  <c r="W459" i="14"/>
  <c r="W458" i="14"/>
  <c r="W457" i="14"/>
  <c r="W456" i="14"/>
  <c r="W455" i="14"/>
  <c r="W454" i="14"/>
  <c r="W453" i="14"/>
  <c r="W452" i="14"/>
  <c r="W451" i="14"/>
  <c r="W450" i="14"/>
  <c r="W449" i="14"/>
  <c r="W448" i="14"/>
  <c r="W447" i="14"/>
  <c r="W446" i="14"/>
  <c r="W445" i="14"/>
  <c r="W444" i="14"/>
  <c r="W443" i="14"/>
  <c r="W442" i="14"/>
  <c r="W441" i="14"/>
  <c r="W440" i="14"/>
  <c r="W439" i="14"/>
  <c r="W438" i="14"/>
  <c r="W437" i="14"/>
  <c r="W436" i="14"/>
  <c r="W435" i="14"/>
  <c r="W434" i="14"/>
  <c r="W433" i="14"/>
  <c r="W432" i="14"/>
  <c r="W431" i="14"/>
  <c r="W430" i="14"/>
  <c r="W429" i="14"/>
  <c r="W428" i="14"/>
  <c r="W427" i="14"/>
  <c r="W426" i="14"/>
  <c r="W425" i="14"/>
  <c r="W424" i="14"/>
  <c r="W423" i="14"/>
  <c r="W422" i="14"/>
  <c r="W421" i="14"/>
  <c r="W420" i="14"/>
  <c r="W419" i="14"/>
  <c r="W418" i="14"/>
  <c r="W417" i="14"/>
  <c r="W416" i="14"/>
  <c r="W415" i="14"/>
  <c r="W414" i="14"/>
  <c r="W413" i="14"/>
  <c r="W412" i="14"/>
  <c r="W411" i="14"/>
  <c r="W410" i="14"/>
  <c r="W409" i="14"/>
  <c r="W408" i="14"/>
  <c r="W407" i="14"/>
  <c r="W406" i="14"/>
  <c r="W405" i="14"/>
  <c r="W404" i="14"/>
  <c r="W403" i="14"/>
  <c r="W402" i="14"/>
  <c r="W401" i="14"/>
  <c r="W400" i="14"/>
  <c r="W399" i="14"/>
  <c r="W398" i="14"/>
  <c r="W397" i="14"/>
  <c r="W396" i="14"/>
  <c r="W395" i="14"/>
  <c r="W394" i="14"/>
  <c r="W393" i="14"/>
  <c r="W392" i="14"/>
  <c r="W391" i="14"/>
  <c r="W390" i="14"/>
  <c r="W389" i="14"/>
  <c r="W388" i="14"/>
  <c r="W387" i="14"/>
  <c r="W386" i="14"/>
  <c r="W385" i="14"/>
  <c r="W384" i="14"/>
  <c r="W383" i="14"/>
  <c r="W382" i="14"/>
  <c r="W381" i="14"/>
  <c r="W380" i="14"/>
  <c r="W379" i="14"/>
  <c r="W378" i="14"/>
  <c r="W377" i="14"/>
  <c r="W376" i="14"/>
  <c r="W375" i="14"/>
  <c r="W374" i="14"/>
  <c r="W373" i="14"/>
  <c r="W372" i="14"/>
  <c r="W371" i="14"/>
  <c r="W370" i="14"/>
  <c r="W369" i="14"/>
  <c r="W368" i="14"/>
  <c r="W367" i="14"/>
  <c r="W366" i="14"/>
  <c r="W365" i="14"/>
  <c r="W364" i="14"/>
  <c r="W363" i="14"/>
  <c r="W362" i="14"/>
  <c r="W361" i="14"/>
  <c r="W360" i="14"/>
  <c r="W359" i="14"/>
  <c r="W358" i="14"/>
  <c r="W357" i="14"/>
  <c r="W356" i="14"/>
  <c r="W355" i="14"/>
  <c r="W354" i="14"/>
  <c r="W353" i="14"/>
  <c r="W352" i="14"/>
  <c r="W351" i="14"/>
  <c r="W350" i="14"/>
  <c r="W349" i="14"/>
  <c r="W348" i="14"/>
  <c r="W347" i="14"/>
  <c r="W346" i="14"/>
  <c r="W345" i="14"/>
  <c r="W344" i="14"/>
  <c r="W343" i="14"/>
  <c r="W342" i="14"/>
  <c r="W341" i="14"/>
  <c r="W340" i="14"/>
  <c r="W339" i="14"/>
  <c r="W338" i="14"/>
  <c r="W337" i="14"/>
  <c r="W336" i="14"/>
  <c r="W335" i="14"/>
  <c r="W334" i="14"/>
  <c r="W333" i="14"/>
  <c r="W332" i="14"/>
  <c r="W331" i="14"/>
  <c r="W330" i="14"/>
  <c r="W329" i="14"/>
  <c r="W328" i="14"/>
  <c r="W327" i="14"/>
  <c r="W326" i="14"/>
  <c r="W325" i="14"/>
  <c r="W324" i="14"/>
  <c r="W323" i="14"/>
  <c r="W322" i="14"/>
  <c r="W321" i="14"/>
  <c r="W320" i="14"/>
  <c r="W319" i="14"/>
  <c r="W318" i="14"/>
  <c r="W317" i="14"/>
  <c r="W316" i="14"/>
  <c r="W315" i="14"/>
  <c r="W314" i="14"/>
  <c r="W313" i="14"/>
  <c r="W312" i="14"/>
  <c r="W311" i="14"/>
  <c r="W310" i="14"/>
  <c r="W309" i="14"/>
  <c r="W308" i="14"/>
  <c r="W307" i="14"/>
  <c r="W306" i="14"/>
  <c r="W305" i="14"/>
  <c r="W304" i="14"/>
  <c r="W303" i="14"/>
  <c r="W302" i="14"/>
  <c r="W301" i="14"/>
  <c r="W300" i="14"/>
  <c r="W299" i="14"/>
  <c r="W298" i="14"/>
  <c r="W297" i="14"/>
  <c r="W296" i="14"/>
  <c r="W295" i="14"/>
  <c r="W294" i="14"/>
  <c r="W293" i="14"/>
  <c r="W292" i="14"/>
  <c r="W291" i="14"/>
  <c r="W290" i="14"/>
  <c r="W289" i="14"/>
  <c r="W288" i="14"/>
  <c r="W287" i="14"/>
  <c r="W286" i="14"/>
  <c r="W285" i="14"/>
  <c r="W284" i="14"/>
  <c r="W283" i="14"/>
  <c r="W282" i="14"/>
  <c r="W281" i="14"/>
  <c r="W280" i="14"/>
  <c r="W279" i="14"/>
  <c r="W278" i="14"/>
  <c r="W277" i="14"/>
  <c r="W276" i="14"/>
  <c r="W275" i="14"/>
  <c r="W274" i="14"/>
  <c r="W273" i="14"/>
  <c r="W272" i="14"/>
  <c r="W271" i="14"/>
  <c r="W270" i="14"/>
  <c r="W269" i="14"/>
  <c r="W268" i="14"/>
  <c r="W267" i="14"/>
  <c r="W266" i="14"/>
  <c r="W265" i="14"/>
  <c r="W264" i="14"/>
  <c r="W263" i="14"/>
  <c r="W262" i="14"/>
  <c r="W261" i="14"/>
  <c r="W260" i="14"/>
  <c r="W259" i="14"/>
  <c r="W258" i="14"/>
  <c r="W257" i="14"/>
  <c r="W256" i="14"/>
  <c r="W255" i="14"/>
  <c r="W254" i="14"/>
  <c r="W253" i="14"/>
  <c r="W252" i="14"/>
  <c r="W251" i="14"/>
  <c r="W250" i="14"/>
  <c r="W249" i="14"/>
  <c r="W248" i="14"/>
  <c r="W247" i="14"/>
  <c r="W246" i="14"/>
  <c r="W245" i="14"/>
  <c r="W244" i="14"/>
  <c r="W243" i="14"/>
  <c r="W242" i="14"/>
  <c r="W241" i="14"/>
  <c r="W240" i="14"/>
  <c r="W239" i="14"/>
  <c r="W238" i="14"/>
  <c r="W237" i="14"/>
  <c r="W236" i="14"/>
  <c r="W235" i="14"/>
  <c r="W234" i="14"/>
  <c r="W233" i="14"/>
  <c r="W232" i="14"/>
  <c r="W231" i="14"/>
  <c r="W230" i="14"/>
  <c r="W229" i="14"/>
  <c r="W228" i="14"/>
  <c r="W227" i="14"/>
  <c r="W226" i="14"/>
  <c r="W225" i="14"/>
  <c r="W224" i="14"/>
  <c r="W223" i="14"/>
  <c r="W222" i="14"/>
  <c r="W221" i="14"/>
  <c r="W220" i="14"/>
  <c r="W219" i="14"/>
  <c r="W218" i="14"/>
  <c r="W217" i="14"/>
  <c r="W216" i="14"/>
  <c r="W215" i="14"/>
  <c r="W214" i="14"/>
  <c r="W213" i="14"/>
  <c r="W212" i="14"/>
  <c r="W211" i="14"/>
  <c r="W210" i="14"/>
  <c r="W209" i="14"/>
  <c r="W208" i="14"/>
  <c r="W207" i="14"/>
  <c r="W206" i="14"/>
  <c r="W205" i="14"/>
  <c r="W204" i="14"/>
  <c r="W203" i="14"/>
  <c r="W202" i="14"/>
  <c r="W201" i="14"/>
  <c r="W200" i="14"/>
  <c r="W199" i="14"/>
  <c r="W198" i="14"/>
  <c r="W197" i="14"/>
  <c r="W196" i="14"/>
  <c r="W195" i="14"/>
  <c r="W194" i="14"/>
  <c r="W193" i="14"/>
  <c r="W192" i="14"/>
  <c r="W191" i="14"/>
  <c r="W190" i="14"/>
  <c r="W189" i="14"/>
  <c r="W188" i="14"/>
  <c r="W187" i="14"/>
  <c r="W186" i="14"/>
  <c r="W185" i="14"/>
  <c r="W184" i="14"/>
  <c r="W183" i="14"/>
  <c r="W182" i="14"/>
  <c r="W181" i="14"/>
  <c r="W180" i="14"/>
  <c r="W179" i="14"/>
  <c r="W178" i="14"/>
  <c r="W177" i="14"/>
  <c r="W176" i="14"/>
  <c r="W175" i="14"/>
  <c r="W174" i="14"/>
  <c r="W173" i="14"/>
  <c r="W172" i="14"/>
  <c r="W171" i="14"/>
  <c r="W170" i="14"/>
  <c r="W169" i="14"/>
  <c r="W168" i="14"/>
  <c r="W167" i="14"/>
  <c r="W166" i="14"/>
  <c r="W165" i="14"/>
  <c r="W164" i="14"/>
  <c r="W163" i="14"/>
  <c r="W162" i="14"/>
  <c r="W161" i="14"/>
  <c r="W160" i="14"/>
  <c r="W159" i="14"/>
  <c r="W158" i="14"/>
  <c r="W157" i="14"/>
  <c r="W156" i="14"/>
  <c r="W155" i="14"/>
  <c r="W154" i="14"/>
  <c r="W153" i="14"/>
  <c r="W152" i="14"/>
  <c r="W151" i="14"/>
  <c r="W150" i="14"/>
  <c r="W149" i="14"/>
  <c r="W148" i="14"/>
  <c r="W147" i="14"/>
  <c r="W146" i="14"/>
  <c r="W145" i="14"/>
  <c r="W144" i="14"/>
  <c r="W143" i="14"/>
  <c r="W142" i="14"/>
  <c r="W141" i="14"/>
  <c r="W140" i="14"/>
  <c r="W139" i="14"/>
  <c r="W138" i="14"/>
  <c r="W137" i="14"/>
  <c r="W136" i="14"/>
  <c r="W135" i="14"/>
  <c r="W134" i="14"/>
  <c r="W133" i="14"/>
  <c r="W132" i="14"/>
  <c r="W131" i="14"/>
  <c r="W130" i="14"/>
  <c r="W129" i="14"/>
  <c r="W128" i="14"/>
  <c r="W127" i="14"/>
  <c r="W126" i="14"/>
  <c r="W125" i="14"/>
  <c r="W124" i="14"/>
  <c r="W123" i="14"/>
  <c r="W122" i="14"/>
  <c r="W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W63" i="14"/>
  <c r="W62" i="14"/>
  <c r="W61" i="14"/>
  <c r="W60" i="14"/>
  <c r="W59" i="14"/>
  <c r="W58" i="14"/>
  <c r="W57" i="14"/>
  <c r="W56" i="14"/>
  <c r="W55" i="14"/>
  <c r="W54" i="14"/>
  <c r="W53" i="14"/>
  <c r="W52" i="14"/>
  <c r="W51" i="14"/>
  <c r="W50" i="14"/>
  <c r="W49" i="14"/>
  <c r="W48" i="14"/>
  <c r="W47" i="14"/>
  <c r="W46" i="14"/>
  <c r="W45" i="14"/>
  <c r="W44" i="14"/>
  <c r="W43" i="14"/>
  <c r="W42" i="14"/>
  <c r="W41" i="14"/>
  <c r="W40" i="14"/>
  <c r="W39" i="14"/>
  <c r="W38" i="14"/>
  <c r="W37" i="14"/>
  <c r="W36" i="14"/>
  <c r="W35" i="14"/>
  <c r="W34" i="14"/>
  <c r="W33" i="14"/>
  <c r="W32" i="14"/>
  <c r="W31" i="14"/>
  <c r="W30" i="14"/>
  <c r="W29" i="14"/>
  <c r="W28" i="14"/>
  <c r="W27" i="14"/>
  <c r="W26" i="14"/>
  <c r="W25" i="14"/>
  <c r="W24" i="14"/>
  <c r="W23" i="14"/>
  <c r="W22" i="14"/>
  <c r="W21" i="14"/>
  <c r="W20" i="14"/>
  <c r="W19" i="14"/>
  <c r="W18" i="14"/>
  <c r="W17" i="14"/>
  <c r="W16" i="14"/>
  <c r="P514" i="14"/>
  <c r="O514" i="14"/>
  <c r="O513" i="14"/>
  <c r="P513" i="14" s="1"/>
  <c r="P512" i="14"/>
  <c r="O512" i="14"/>
  <c r="O511" i="14"/>
  <c r="P511" i="14" s="1"/>
  <c r="P510" i="14"/>
  <c r="O510" i="14"/>
  <c r="O509" i="14"/>
  <c r="P509" i="14" s="1"/>
  <c r="P508" i="14"/>
  <c r="O508" i="14"/>
  <c r="O507" i="14"/>
  <c r="P507" i="14" s="1"/>
  <c r="P506" i="14"/>
  <c r="O506" i="14"/>
  <c r="O505" i="14"/>
  <c r="P505" i="14" s="1"/>
  <c r="P504" i="14"/>
  <c r="O504" i="14"/>
  <c r="O503" i="14"/>
  <c r="P503" i="14" s="1"/>
  <c r="P502" i="14"/>
  <c r="O502" i="14"/>
  <c r="O501" i="14"/>
  <c r="P501" i="14" s="1"/>
  <c r="P500" i="14"/>
  <c r="O500" i="14"/>
  <c r="P499" i="14"/>
  <c r="O499" i="14"/>
  <c r="P498" i="14"/>
  <c r="O498" i="14"/>
  <c r="O497" i="14"/>
  <c r="P497" i="14" s="1"/>
  <c r="P496" i="14"/>
  <c r="O496" i="14"/>
  <c r="O495" i="14"/>
  <c r="P495" i="14" s="1"/>
  <c r="P494" i="14"/>
  <c r="O494" i="14"/>
  <c r="O493" i="14"/>
  <c r="P493" i="14" s="1"/>
  <c r="P492" i="14"/>
  <c r="O492" i="14"/>
  <c r="O491" i="14"/>
  <c r="P491" i="14" s="1"/>
  <c r="P490" i="14"/>
  <c r="O490" i="14"/>
  <c r="O489" i="14"/>
  <c r="P489" i="14" s="1"/>
  <c r="P488" i="14"/>
  <c r="O488" i="14"/>
  <c r="P487" i="14"/>
  <c r="O487" i="14"/>
  <c r="P486" i="14"/>
  <c r="O486" i="14"/>
  <c r="O485" i="14"/>
  <c r="P485" i="14" s="1"/>
  <c r="P484" i="14"/>
  <c r="O484" i="14"/>
  <c r="O483" i="14"/>
  <c r="P483" i="14" s="1"/>
  <c r="P482" i="14"/>
  <c r="O482" i="14"/>
  <c r="O481" i="14"/>
  <c r="P481" i="14" s="1"/>
  <c r="P480" i="14"/>
  <c r="O480" i="14"/>
  <c r="O479" i="14"/>
  <c r="P479" i="14" s="1"/>
  <c r="P478" i="14"/>
  <c r="O478" i="14"/>
  <c r="O477" i="14"/>
  <c r="P477" i="14" s="1"/>
  <c r="P476" i="14"/>
  <c r="O476" i="14"/>
  <c r="O475" i="14"/>
  <c r="P475" i="14" s="1"/>
  <c r="P474" i="14"/>
  <c r="O474" i="14"/>
  <c r="O473" i="14"/>
  <c r="P473" i="14" s="1"/>
  <c r="P472" i="14"/>
  <c r="O472" i="14"/>
  <c r="O471" i="14"/>
  <c r="P471" i="14" s="1"/>
  <c r="P470" i="14"/>
  <c r="O470" i="14"/>
  <c r="O469" i="14"/>
  <c r="P469" i="14" s="1"/>
  <c r="P468" i="14"/>
  <c r="O468" i="14"/>
  <c r="P467" i="14"/>
  <c r="O467" i="14"/>
  <c r="P466" i="14"/>
  <c r="O466" i="14"/>
  <c r="O465" i="14"/>
  <c r="P465" i="14" s="1"/>
  <c r="P464" i="14"/>
  <c r="O464" i="14"/>
  <c r="O463" i="14"/>
  <c r="P463" i="14" s="1"/>
  <c r="P462" i="14"/>
  <c r="O462" i="14"/>
  <c r="O461" i="14"/>
  <c r="P461" i="14" s="1"/>
  <c r="P460" i="14"/>
  <c r="O460" i="14"/>
  <c r="O459" i="14"/>
  <c r="P459" i="14" s="1"/>
  <c r="P458" i="14"/>
  <c r="O458" i="14"/>
  <c r="O457" i="14"/>
  <c r="P457" i="14" s="1"/>
  <c r="P456" i="14"/>
  <c r="O456" i="14"/>
  <c r="P455" i="14"/>
  <c r="O455" i="14"/>
  <c r="P454" i="14"/>
  <c r="O454" i="14"/>
  <c r="O453" i="14"/>
  <c r="P453" i="14" s="1"/>
  <c r="P452" i="14"/>
  <c r="O452" i="14"/>
  <c r="O451" i="14"/>
  <c r="P451" i="14" s="1"/>
  <c r="P450" i="14"/>
  <c r="O450" i="14"/>
  <c r="O449" i="14"/>
  <c r="P449" i="14" s="1"/>
  <c r="P448" i="14"/>
  <c r="O448" i="14"/>
  <c r="O447" i="14"/>
  <c r="P447" i="14" s="1"/>
  <c r="P446" i="14"/>
  <c r="O446" i="14"/>
  <c r="O445" i="14"/>
  <c r="P445" i="14" s="1"/>
  <c r="P444" i="14"/>
  <c r="O444" i="14"/>
  <c r="O443" i="14"/>
  <c r="P443" i="14" s="1"/>
  <c r="P442" i="14"/>
  <c r="O442" i="14"/>
  <c r="O441" i="14"/>
  <c r="P441" i="14" s="1"/>
  <c r="P440" i="14"/>
  <c r="O440" i="14"/>
  <c r="O439" i="14"/>
  <c r="P439" i="14" s="1"/>
  <c r="P438" i="14"/>
  <c r="O438" i="14"/>
  <c r="O437" i="14"/>
  <c r="P437" i="14" s="1"/>
  <c r="P436" i="14"/>
  <c r="O436" i="14"/>
  <c r="P435" i="14"/>
  <c r="O435" i="14"/>
  <c r="P434" i="14"/>
  <c r="O434" i="14"/>
  <c r="O433" i="14"/>
  <c r="P433" i="14" s="1"/>
  <c r="P432" i="14"/>
  <c r="O432" i="14"/>
  <c r="O431" i="14"/>
  <c r="P431" i="14" s="1"/>
  <c r="P430" i="14"/>
  <c r="O430" i="14"/>
  <c r="O429" i="14"/>
  <c r="P429" i="14" s="1"/>
  <c r="P428" i="14"/>
  <c r="O428" i="14"/>
  <c r="O427" i="14"/>
  <c r="P427" i="14" s="1"/>
  <c r="P426" i="14"/>
  <c r="O426" i="14"/>
  <c r="O425" i="14"/>
  <c r="P425" i="14" s="1"/>
  <c r="P424" i="14"/>
  <c r="O424" i="14"/>
  <c r="P423" i="14"/>
  <c r="O423" i="14"/>
  <c r="P422" i="14"/>
  <c r="O422" i="14"/>
  <c r="O421" i="14"/>
  <c r="P421" i="14" s="1"/>
  <c r="P420" i="14"/>
  <c r="O420" i="14"/>
  <c r="O419" i="14"/>
  <c r="P419" i="14" s="1"/>
  <c r="P418" i="14"/>
  <c r="O418" i="14"/>
  <c r="O417" i="14"/>
  <c r="P417" i="14" s="1"/>
  <c r="P416" i="14"/>
  <c r="O416" i="14"/>
  <c r="O415" i="14"/>
  <c r="P415" i="14" s="1"/>
  <c r="P414" i="14"/>
  <c r="O414" i="14"/>
  <c r="O413" i="14"/>
  <c r="P413" i="14" s="1"/>
  <c r="P412" i="14"/>
  <c r="O412" i="14"/>
  <c r="O411" i="14"/>
  <c r="P411" i="14" s="1"/>
  <c r="P410" i="14"/>
  <c r="O410" i="14"/>
  <c r="O409" i="14"/>
  <c r="P409" i="14" s="1"/>
  <c r="P408" i="14"/>
  <c r="O408" i="14"/>
  <c r="O407" i="14"/>
  <c r="P407" i="14" s="1"/>
  <c r="P406" i="14"/>
  <c r="O406" i="14"/>
  <c r="O405" i="14"/>
  <c r="P405" i="14" s="1"/>
  <c r="P404" i="14"/>
  <c r="O404" i="14"/>
  <c r="P403" i="14"/>
  <c r="O403" i="14"/>
  <c r="P402" i="14"/>
  <c r="O402" i="14"/>
  <c r="O401" i="14"/>
  <c r="P401" i="14" s="1"/>
  <c r="P400" i="14"/>
  <c r="O400" i="14"/>
  <c r="O399" i="14"/>
  <c r="P399" i="14" s="1"/>
  <c r="P398" i="14"/>
  <c r="O398" i="14"/>
  <c r="O397" i="14"/>
  <c r="P397" i="14" s="1"/>
  <c r="P396" i="14"/>
  <c r="O396" i="14"/>
  <c r="O395" i="14"/>
  <c r="P395" i="14" s="1"/>
  <c r="P394" i="14"/>
  <c r="O394" i="14"/>
  <c r="O393" i="14"/>
  <c r="P393" i="14" s="1"/>
  <c r="P392" i="14"/>
  <c r="O392" i="14"/>
  <c r="P391" i="14"/>
  <c r="O391" i="14"/>
  <c r="P390" i="14"/>
  <c r="O390" i="14"/>
  <c r="O389" i="14"/>
  <c r="P389" i="14" s="1"/>
  <c r="P388" i="14"/>
  <c r="O388" i="14"/>
  <c r="O387" i="14"/>
  <c r="P387" i="14" s="1"/>
  <c r="P386" i="14"/>
  <c r="O386" i="14"/>
  <c r="O385" i="14"/>
  <c r="P385" i="14" s="1"/>
  <c r="P384" i="14"/>
  <c r="O384" i="14"/>
  <c r="O383" i="14"/>
  <c r="P383" i="14" s="1"/>
  <c r="P382" i="14"/>
  <c r="O382" i="14"/>
  <c r="O381" i="14"/>
  <c r="P381" i="14" s="1"/>
  <c r="P380" i="14"/>
  <c r="O380" i="14"/>
  <c r="O379" i="14"/>
  <c r="P379" i="14" s="1"/>
  <c r="P378" i="14"/>
  <c r="O378" i="14"/>
  <c r="O377" i="14"/>
  <c r="P377" i="14" s="1"/>
  <c r="P376" i="14"/>
  <c r="O376" i="14"/>
  <c r="O375" i="14"/>
  <c r="P375" i="14" s="1"/>
  <c r="P374" i="14"/>
  <c r="O374" i="14"/>
  <c r="O373" i="14"/>
  <c r="P373" i="14" s="1"/>
  <c r="P372" i="14"/>
  <c r="O372" i="14"/>
  <c r="P371" i="14"/>
  <c r="O371" i="14"/>
  <c r="P370" i="14"/>
  <c r="O370" i="14"/>
  <c r="O369" i="14"/>
  <c r="P369" i="14" s="1"/>
  <c r="P368" i="14"/>
  <c r="O368" i="14"/>
  <c r="O367" i="14"/>
  <c r="P367" i="14" s="1"/>
  <c r="P366" i="14"/>
  <c r="O366" i="14"/>
  <c r="O365" i="14"/>
  <c r="P365" i="14" s="1"/>
  <c r="P364" i="14"/>
  <c r="O364" i="14"/>
  <c r="O363" i="14"/>
  <c r="P363" i="14" s="1"/>
  <c r="P362" i="14"/>
  <c r="O362" i="14"/>
  <c r="O361" i="14"/>
  <c r="P361" i="14" s="1"/>
  <c r="P360" i="14"/>
  <c r="O360" i="14"/>
  <c r="P359" i="14"/>
  <c r="O359" i="14"/>
  <c r="P358" i="14"/>
  <c r="O358" i="14"/>
  <c r="O357" i="14"/>
  <c r="P357" i="14" s="1"/>
  <c r="P356" i="14"/>
  <c r="O356" i="14"/>
  <c r="O355" i="14"/>
  <c r="P355" i="14" s="1"/>
  <c r="P354" i="14"/>
  <c r="O354" i="14"/>
  <c r="O353" i="14"/>
  <c r="P353" i="14" s="1"/>
  <c r="P352" i="14"/>
  <c r="O352" i="14"/>
  <c r="O351" i="14"/>
  <c r="P351" i="14" s="1"/>
  <c r="P350" i="14"/>
  <c r="O350" i="14"/>
  <c r="O349" i="14"/>
  <c r="P349" i="14" s="1"/>
  <c r="P348" i="14"/>
  <c r="O348" i="14"/>
  <c r="O347" i="14"/>
  <c r="P347" i="14" s="1"/>
  <c r="P346" i="14"/>
  <c r="O346" i="14"/>
  <c r="O345" i="14"/>
  <c r="P345" i="14" s="1"/>
  <c r="P344" i="14"/>
  <c r="O344" i="14"/>
  <c r="O343" i="14"/>
  <c r="P343" i="14" s="1"/>
  <c r="P342" i="14"/>
  <c r="O342" i="14"/>
  <c r="O341" i="14"/>
  <c r="P341" i="14" s="1"/>
  <c r="P340" i="14"/>
  <c r="O340" i="14"/>
  <c r="P339" i="14"/>
  <c r="O339" i="14"/>
  <c r="P338" i="14"/>
  <c r="O338" i="14"/>
  <c r="O337" i="14"/>
  <c r="P337" i="14" s="1"/>
  <c r="P336" i="14"/>
  <c r="O336" i="14"/>
  <c r="O335" i="14"/>
  <c r="P335" i="14" s="1"/>
  <c r="P334" i="14"/>
  <c r="O334" i="14"/>
  <c r="O333" i="14"/>
  <c r="P333" i="14" s="1"/>
  <c r="P332" i="14"/>
  <c r="O332" i="14"/>
  <c r="O331" i="14"/>
  <c r="P331" i="14" s="1"/>
  <c r="P330" i="14"/>
  <c r="O330" i="14"/>
  <c r="O329" i="14"/>
  <c r="P329" i="14" s="1"/>
  <c r="P328" i="14"/>
  <c r="O328" i="14"/>
  <c r="P327" i="14"/>
  <c r="O327" i="14"/>
  <c r="P326" i="14"/>
  <c r="O326" i="14"/>
  <c r="O325" i="14"/>
  <c r="P325" i="14" s="1"/>
  <c r="P324" i="14"/>
  <c r="O324" i="14"/>
  <c r="O323" i="14"/>
  <c r="P323" i="14" s="1"/>
  <c r="P322" i="14"/>
  <c r="O322" i="14"/>
  <c r="O321" i="14"/>
  <c r="P321" i="14" s="1"/>
  <c r="P320" i="14"/>
  <c r="O320" i="14"/>
  <c r="O319" i="14"/>
  <c r="P319" i="14" s="1"/>
  <c r="P318" i="14"/>
  <c r="O318" i="14"/>
  <c r="O317" i="14"/>
  <c r="P317" i="14" s="1"/>
  <c r="P316" i="14"/>
  <c r="O316" i="14"/>
  <c r="O315" i="14"/>
  <c r="P315" i="14" s="1"/>
  <c r="P314" i="14"/>
  <c r="O314" i="14"/>
  <c r="O313" i="14"/>
  <c r="P313" i="14" s="1"/>
  <c r="P312" i="14"/>
  <c r="O312" i="14"/>
  <c r="O311" i="14"/>
  <c r="P311" i="14" s="1"/>
  <c r="P310" i="14"/>
  <c r="O310" i="14"/>
  <c r="O309" i="14"/>
  <c r="P309" i="14" s="1"/>
  <c r="P308" i="14"/>
  <c r="O308" i="14"/>
  <c r="P307" i="14"/>
  <c r="O307" i="14"/>
  <c r="P306" i="14"/>
  <c r="O306" i="14"/>
  <c r="O305" i="14"/>
  <c r="P305" i="14" s="1"/>
  <c r="P304" i="14"/>
  <c r="O304" i="14"/>
  <c r="O303" i="14"/>
  <c r="P303" i="14" s="1"/>
  <c r="P302" i="14"/>
  <c r="O302" i="14"/>
  <c r="O301" i="14"/>
  <c r="P301" i="14" s="1"/>
  <c r="P300" i="14"/>
  <c r="O300" i="14"/>
  <c r="O299" i="14"/>
  <c r="P299" i="14" s="1"/>
  <c r="P298" i="14"/>
  <c r="O298" i="14"/>
  <c r="O297" i="14"/>
  <c r="P297" i="14" s="1"/>
  <c r="P296" i="14"/>
  <c r="O296" i="14"/>
  <c r="P295" i="14"/>
  <c r="O295" i="14"/>
  <c r="P294" i="14"/>
  <c r="O294" i="14"/>
  <c r="O293" i="14"/>
  <c r="P293" i="14" s="1"/>
  <c r="P292" i="14"/>
  <c r="O292" i="14"/>
  <c r="O291" i="14"/>
  <c r="P291" i="14" s="1"/>
  <c r="P290" i="14"/>
  <c r="O290" i="14"/>
  <c r="O289" i="14"/>
  <c r="P289" i="14" s="1"/>
  <c r="P288" i="14"/>
  <c r="O288" i="14"/>
  <c r="O287" i="14"/>
  <c r="P287" i="14" s="1"/>
  <c r="P286" i="14"/>
  <c r="O286" i="14"/>
  <c r="O285" i="14"/>
  <c r="P285" i="14" s="1"/>
  <c r="P284" i="14"/>
  <c r="O284" i="14"/>
  <c r="O283" i="14"/>
  <c r="P283" i="14" s="1"/>
  <c r="P282" i="14"/>
  <c r="O282" i="14"/>
  <c r="O281" i="14"/>
  <c r="P281" i="14" s="1"/>
  <c r="P280" i="14"/>
  <c r="O280" i="14"/>
  <c r="O279" i="14"/>
  <c r="P279" i="14" s="1"/>
  <c r="P278" i="14"/>
  <c r="O278" i="14"/>
  <c r="O277" i="14"/>
  <c r="P277" i="14" s="1"/>
  <c r="P276" i="14"/>
  <c r="O276" i="14"/>
  <c r="P275" i="14"/>
  <c r="O275" i="14"/>
  <c r="P274" i="14"/>
  <c r="O274" i="14"/>
  <c r="O273" i="14"/>
  <c r="P273" i="14" s="1"/>
  <c r="P272" i="14"/>
  <c r="O272" i="14"/>
  <c r="O271" i="14"/>
  <c r="P271" i="14" s="1"/>
  <c r="P270" i="14"/>
  <c r="O270" i="14"/>
  <c r="O269" i="14"/>
  <c r="P269" i="14" s="1"/>
  <c r="P268" i="14"/>
  <c r="O268" i="14"/>
  <c r="O267" i="14"/>
  <c r="P267" i="14" s="1"/>
  <c r="P266" i="14"/>
  <c r="O266" i="14"/>
  <c r="O265" i="14"/>
  <c r="P265" i="14" s="1"/>
  <c r="P264" i="14"/>
  <c r="O264" i="14"/>
  <c r="P263" i="14"/>
  <c r="O263" i="14"/>
  <c r="P262" i="14"/>
  <c r="O262" i="14"/>
  <c r="O261" i="14"/>
  <c r="P261" i="14" s="1"/>
  <c r="P260" i="14"/>
  <c r="O260" i="14"/>
  <c r="O259" i="14"/>
  <c r="P259" i="14" s="1"/>
  <c r="P258" i="14"/>
  <c r="O258" i="14"/>
  <c r="O257" i="14"/>
  <c r="P257" i="14" s="1"/>
  <c r="P256" i="14"/>
  <c r="O256" i="14"/>
  <c r="O255" i="14"/>
  <c r="P255" i="14" s="1"/>
  <c r="P254" i="14"/>
  <c r="O254" i="14"/>
  <c r="O253" i="14"/>
  <c r="P253" i="14" s="1"/>
  <c r="P252" i="14"/>
  <c r="O252" i="14"/>
  <c r="O251" i="14"/>
  <c r="P251" i="14" s="1"/>
  <c r="P250" i="14"/>
  <c r="O250" i="14"/>
  <c r="O249" i="14"/>
  <c r="P249" i="14" s="1"/>
  <c r="P248" i="14"/>
  <c r="O248" i="14"/>
  <c r="O247" i="14"/>
  <c r="P247" i="14" s="1"/>
  <c r="P246" i="14"/>
  <c r="O246" i="14"/>
  <c r="O245" i="14"/>
  <c r="P245" i="14" s="1"/>
  <c r="P244" i="14"/>
  <c r="O244" i="14"/>
  <c r="P243" i="14"/>
  <c r="O243" i="14"/>
  <c r="P242" i="14"/>
  <c r="O242" i="14"/>
  <c r="O241" i="14"/>
  <c r="P241" i="14" s="1"/>
  <c r="P240" i="14"/>
  <c r="O240" i="14"/>
  <c r="O239" i="14"/>
  <c r="P239" i="14" s="1"/>
  <c r="P238" i="14"/>
  <c r="O238" i="14"/>
  <c r="O237" i="14"/>
  <c r="P237" i="14" s="1"/>
  <c r="P236" i="14"/>
  <c r="O236" i="14"/>
  <c r="O235" i="14"/>
  <c r="P235" i="14" s="1"/>
  <c r="P234" i="14"/>
  <c r="O234" i="14"/>
  <c r="O233" i="14"/>
  <c r="P233" i="14" s="1"/>
  <c r="P232" i="14"/>
  <c r="O232" i="14"/>
  <c r="P231" i="14"/>
  <c r="O231" i="14"/>
  <c r="P230" i="14"/>
  <c r="O230" i="14"/>
  <c r="O229" i="14"/>
  <c r="P229" i="14" s="1"/>
  <c r="P228" i="14"/>
  <c r="O228" i="14"/>
  <c r="O227" i="14"/>
  <c r="P227" i="14" s="1"/>
  <c r="P226" i="14"/>
  <c r="O226" i="14"/>
  <c r="O225" i="14"/>
  <c r="P225" i="14" s="1"/>
  <c r="P224" i="14"/>
  <c r="O224" i="14"/>
  <c r="O223" i="14"/>
  <c r="P223" i="14" s="1"/>
  <c r="P222" i="14"/>
  <c r="O222" i="14"/>
  <c r="O221" i="14"/>
  <c r="P221" i="14" s="1"/>
  <c r="P220" i="14"/>
  <c r="O220" i="14"/>
  <c r="O219" i="14"/>
  <c r="P219" i="14" s="1"/>
  <c r="P218" i="14"/>
  <c r="O218" i="14"/>
  <c r="O217" i="14"/>
  <c r="P217" i="14" s="1"/>
  <c r="P216" i="14"/>
  <c r="O216" i="14"/>
  <c r="O215" i="14"/>
  <c r="P215" i="14" s="1"/>
  <c r="P214" i="14"/>
  <c r="O214" i="14"/>
  <c r="O213" i="14"/>
  <c r="P213" i="14" s="1"/>
  <c r="P212" i="14"/>
  <c r="O212" i="14"/>
  <c r="P211" i="14"/>
  <c r="O211" i="14"/>
  <c r="P210" i="14"/>
  <c r="O210" i="14"/>
  <c r="O209" i="14"/>
  <c r="P209" i="14" s="1"/>
  <c r="P208" i="14"/>
  <c r="O208" i="14"/>
  <c r="O207" i="14"/>
  <c r="P207" i="14" s="1"/>
  <c r="P206" i="14"/>
  <c r="O206" i="14"/>
  <c r="O205" i="14"/>
  <c r="P205" i="14" s="1"/>
  <c r="P204" i="14"/>
  <c r="O204" i="14"/>
  <c r="O203" i="14"/>
  <c r="P203" i="14" s="1"/>
  <c r="P202" i="14"/>
  <c r="O202" i="14"/>
  <c r="O201" i="14"/>
  <c r="P201" i="14" s="1"/>
  <c r="P200" i="14"/>
  <c r="O200" i="14"/>
  <c r="P199" i="14"/>
  <c r="O199" i="14"/>
  <c r="P198" i="14"/>
  <c r="O198" i="14"/>
  <c r="O197" i="14"/>
  <c r="P197" i="14" s="1"/>
  <c r="P196" i="14"/>
  <c r="O196" i="14"/>
  <c r="O195" i="14"/>
  <c r="P195" i="14" s="1"/>
  <c r="P194" i="14"/>
  <c r="O194" i="14"/>
  <c r="O193" i="14"/>
  <c r="P193" i="14" s="1"/>
  <c r="P192" i="14"/>
  <c r="O192" i="14"/>
  <c r="O191" i="14"/>
  <c r="P191" i="14" s="1"/>
  <c r="P190" i="14"/>
  <c r="O190" i="14"/>
  <c r="O189" i="14"/>
  <c r="P189" i="14" s="1"/>
  <c r="P188" i="14"/>
  <c r="O188" i="14"/>
  <c r="O187" i="14"/>
  <c r="P187" i="14" s="1"/>
  <c r="P186" i="14"/>
  <c r="O186" i="14"/>
  <c r="O185" i="14"/>
  <c r="P185" i="14" s="1"/>
  <c r="P184" i="14"/>
  <c r="O184" i="14"/>
  <c r="O183" i="14"/>
  <c r="P183" i="14" s="1"/>
  <c r="P182" i="14"/>
  <c r="O182" i="14"/>
  <c r="O181" i="14"/>
  <c r="P181" i="14" s="1"/>
  <c r="P180" i="14"/>
  <c r="O180" i="14"/>
  <c r="P179" i="14"/>
  <c r="O179" i="14"/>
  <c r="P178" i="14"/>
  <c r="O178" i="14"/>
  <c r="O177" i="14"/>
  <c r="P177" i="14" s="1"/>
  <c r="P176" i="14"/>
  <c r="O176" i="14"/>
  <c r="O175" i="14"/>
  <c r="P175" i="14" s="1"/>
  <c r="P174" i="14"/>
  <c r="O174" i="14"/>
  <c r="O173" i="14"/>
  <c r="P173" i="14" s="1"/>
  <c r="P172" i="14"/>
  <c r="O172" i="14"/>
  <c r="O171" i="14"/>
  <c r="P171" i="14" s="1"/>
  <c r="P170" i="14"/>
  <c r="O170" i="14"/>
  <c r="O169" i="14"/>
  <c r="P169" i="14" s="1"/>
  <c r="P168" i="14"/>
  <c r="O168" i="14"/>
  <c r="O167" i="14"/>
  <c r="P167" i="14" s="1"/>
  <c r="P166" i="14"/>
  <c r="O166" i="14"/>
  <c r="O165" i="14"/>
  <c r="P165" i="14" s="1"/>
  <c r="P164" i="14"/>
  <c r="O164" i="14"/>
  <c r="O163" i="14"/>
  <c r="P163" i="14" s="1"/>
  <c r="P162" i="14"/>
  <c r="O162" i="14"/>
  <c r="O161" i="14"/>
  <c r="P161" i="14" s="1"/>
  <c r="P160" i="14"/>
  <c r="O160" i="14"/>
  <c r="O159" i="14"/>
  <c r="P159" i="14" s="1"/>
  <c r="P158" i="14"/>
  <c r="O158" i="14"/>
  <c r="O157" i="14"/>
  <c r="P157" i="14" s="1"/>
  <c r="P156" i="14"/>
  <c r="O156" i="14"/>
  <c r="O155" i="14"/>
  <c r="P155" i="14" s="1"/>
  <c r="P154" i="14"/>
  <c r="O154" i="14"/>
  <c r="O153" i="14"/>
  <c r="P153" i="14" s="1"/>
  <c r="P152" i="14"/>
  <c r="O152" i="14"/>
  <c r="O151" i="14"/>
  <c r="P151" i="14" s="1"/>
  <c r="P150" i="14"/>
  <c r="O150" i="14"/>
  <c r="O149" i="14"/>
  <c r="P149" i="14" s="1"/>
  <c r="P148" i="14"/>
  <c r="O148" i="14"/>
  <c r="O147" i="14"/>
  <c r="P147" i="14" s="1"/>
  <c r="P146" i="14"/>
  <c r="O146" i="14"/>
  <c r="O145" i="14"/>
  <c r="P145" i="14" s="1"/>
  <c r="P144" i="14"/>
  <c r="O144" i="14"/>
  <c r="O143" i="14"/>
  <c r="P143" i="14" s="1"/>
  <c r="P142" i="14"/>
  <c r="O142" i="14"/>
  <c r="O141" i="14"/>
  <c r="P141" i="14" s="1"/>
  <c r="P140" i="14"/>
  <c r="O140" i="14"/>
  <c r="O139" i="14"/>
  <c r="P139" i="14" s="1"/>
  <c r="P138" i="14"/>
  <c r="O138" i="14"/>
  <c r="O137" i="14"/>
  <c r="P137" i="14" s="1"/>
  <c r="P136" i="14"/>
  <c r="O136" i="14"/>
  <c r="O135" i="14"/>
  <c r="P135" i="14" s="1"/>
  <c r="P134" i="14"/>
  <c r="O134" i="14"/>
  <c r="O133" i="14"/>
  <c r="P133" i="14" s="1"/>
  <c r="P132" i="14"/>
  <c r="O132" i="14"/>
  <c r="O131" i="14"/>
  <c r="P131" i="14" s="1"/>
  <c r="P130" i="14"/>
  <c r="O130" i="14"/>
  <c r="O129" i="14"/>
  <c r="P129" i="14" s="1"/>
  <c r="P128" i="14"/>
  <c r="O128" i="14"/>
  <c r="O127" i="14"/>
  <c r="P127" i="14" s="1"/>
  <c r="P126" i="14"/>
  <c r="O126" i="14"/>
  <c r="O125" i="14"/>
  <c r="P125" i="14" s="1"/>
  <c r="P124" i="14"/>
  <c r="O124" i="14"/>
  <c r="O123" i="14"/>
  <c r="P123" i="14" s="1"/>
  <c r="P122" i="14"/>
  <c r="O122" i="14"/>
  <c r="O121" i="14"/>
  <c r="P121" i="14" s="1"/>
  <c r="P120" i="14"/>
  <c r="O120" i="14"/>
  <c r="O119" i="14"/>
  <c r="P119" i="14" s="1"/>
  <c r="P118" i="14"/>
  <c r="O118" i="14"/>
  <c r="O117" i="14"/>
  <c r="P117" i="14" s="1"/>
  <c r="P116" i="14"/>
  <c r="O116" i="14"/>
  <c r="O115" i="14"/>
  <c r="P115" i="14" s="1"/>
  <c r="P114" i="14"/>
  <c r="O114" i="14"/>
  <c r="O113" i="14"/>
  <c r="P113" i="14" s="1"/>
  <c r="P112" i="14"/>
  <c r="O112" i="14"/>
  <c r="O111" i="14"/>
  <c r="P111" i="14" s="1"/>
  <c r="P110" i="14"/>
  <c r="O110" i="14"/>
  <c r="O109" i="14"/>
  <c r="P109" i="14" s="1"/>
  <c r="P108" i="14"/>
  <c r="O108" i="14"/>
  <c r="O107" i="14"/>
  <c r="P107" i="14" s="1"/>
  <c r="P106" i="14"/>
  <c r="O106" i="14"/>
  <c r="O105" i="14"/>
  <c r="P105" i="14" s="1"/>
  <c r="P104" i="14"/>
  <c r="O104" i="14"/>
  <c r="O103" i="14"/>
  <c r="P103" i="14" s="1"/>
  <c r="P102" i="14"/>
  <c r="O102" i="14"/>
  <c r="O101" i="14"/>
  <c r="P101" i="14" s="1"/>
  <c r="P100" i="14"/>
  <c r="O100" i="14"/>
  <c r="O99" i="14"/>
  <c r="P99" i="14" s="1"/>
  <c r="P98" i="14"/>
  <c r="O98" i="14"/>
  <c r="O97" i="14"/>
  <c r="P97" i="14" s="1"/>
  <c r="P96" i="14"/>
  <c r="O96" i="14"/>
  <c r="O95" i="14"/>
  <c r="P95" i="14" s="1"/>
  <c r="P94" i="14"/>
  <c r="O94" i="14"/>
  <c r="O93" i="14"/>
  <c r="P93" i="14" s="1"/>
  <c r="P92" i="14"/>
  <c r="O92" i="14"/>
  <c r="O91" i="14"/>
  <c r="P91" i="14" s="1"/>
  <c r="P90" i="14"/>
  <c r="O90" i="14"/>
  <c r="O89" i="14"/>
  <c r="P89" i="14" s="1"/>
  <c r="P88" i="14"/>
  <c r="O88" i="14"/>
  <c r="O87" i="14"/>
  <c r="P87" i="14" s="1"/>
  <c r="P86" i="14"/>
  <c r="O86" i="14"/>
  <c r="O85" i="14"/>
  <c r="P85" i="14" s="1"/>
  <c r="P84" i="14"/>
  <c r="O84" i="14"/>
  <c r="O83" i="14"/>
  <c r="P83" i="14" s="1"/>
  <c r="P82" i="14"/>
  <c r="O82" i="14"/>
  <c r="O81" i="14"/>
  <c r="P81" i="14" s="1"/>
  <c r="P80" i="14"/>
  <c r="O80" i="14"/>
  <c r="O79" i="14"/>
  <c r="P79" i="14" s="1"/>
  <c r="P78" i="14"/>
  <c r="O78" i="14"/>
  <c r="O77" i="14"/>
  <c r="P77" i="14" s="1"/>
  <c r="P76" i="14"/>
  <c r="O76" i="14"/>
  <c r="O75" i="14"/>
  <c r="P75" i="14" s="1"/>
  <c r="P74" i="14"/>
  <c r="O74" i="14"/>
  <c r="O73" i="14"/>
  <c r="P73" i="14" s="1"/>
  <c r="P72" i="14"/>
  <c r="O72" i="14"/>
  <c r="O71" i="14"/>
  <c r="P71" i="14" s="1"/>
  <c r="P70" i="14"/>
  <c r="O70" i="14"/>
  <c r="O69" i="14"/>
  <c r="P69" i="14" s="1"/>
  <c r="P68" i="14"/>
  <c r="O68" i="14"/>
  <c r="O67" i="14"/>
  <c r="P67" i="14" s="1"/>
  <c r="P66" i="14"/>
  <c r="O66" i="14"/>
  <c r="O65" i="14"/>
  <c r="P65" i="14" s="1"/>
  <c r="P64" i="14"/>
  <c r="O64" i="14"/>
  <c r="O63" i="14"/>
  <c r="P63" i="14" s="1"/>
  <c r="P62" i="14"/>
  <c r="O62" i="14"/>
  <c r="O61" i="14"/>
  <c r="P61" i="14" s="1"/>
  <c r="P60" i="14"/>
  <c r="O60" i="14"/>
  <c r="O59" i="14"/>
  <c r="P59" i="14" s="1"/>
  <c r="P58" i="14"/>
  <c r="O58" i="14"/>
  <c r="O57" i="14"/>
  <c r="P57" i="14" s="1"/>
  <c r="P56" i="14"/>
  <c r="O56" i="14"/>
  <c r="O55" i="14"/>
  <c r="P55" i="14" s="1"/>
  <c r="P54" i="14"/>
  <c r="O54" i="14"/>
  <c r="O53" i="14"/>
  <c r="P53" i="14" s="1"/>
  <c r="P52" i="14"/>
  <c r="O52" i="14"/>
  <c r="O51" i="14"/>
  <c r="P51" i="14" s="1"/>
  <c r="P50" i="14"/>
  <c r="O50" i="14"/>
  <c r="O49" i="14"/>
  <c r="P49" i="14" s="1"/>
  <c r="P48" i="14"/>
  <c r="O48" i="14"/>
  <c r="O47" i="14"/>
  <c r="P47" i="14" s="1"/>
  <c r="P46" i="14"/>
  <c r="O46" i="14"/>
  <c r="O45" i="14"/>
  <c r="P45" i="14" s="1"/>
  <c r="P44" i="14"/>
  <c r="O44" i="14"/>
  <c r="O43" i="14"/>
  <c r="P43" i="14" s="1"/>
  <c r="P42" i="14"/>
  <c r="O42" i="14"/>
  <c r="O41" i="14"/>
  <c r="P41" i="14" s="1"/>
  <c r="P40" i="14"/>
  <c r="O40" i="14"/>
  <c r="O39" i="14"/>
  <c r="P39" i="14" s="1"/>
  <c r="P38" i="14"/>
  <c r="O38" i="14"/>
  <c r="O37" i="14"/>
  <c r="P37" i="14" s="1"/>
  <c r="P36" i="14"/>
  <c r="O36" i="14"/>
  <c r="O35" i="14"/>
  <c r="P35" i="14" s="1"/>
  <c r="P34" i="14"/>
  <c r="O34" i="14"/>
  <c r="O33" i="14"/>
  <c r="P33" i="14" s="1"/>
  <c r="P32" i="14"/>
  <c r="O32" i="14"/>
  <c r="O31" i="14"/>
  <c r="P31" i="14" s="1"/>
  <c r="P30" i="14"/>
  <c r="O30" i="14"/>
  <c r="O29" i="14"/>
  <c r="P29" i="14" s="1"/>
  <c r="P28" i="14"/>
  <c r="O28" i="14"/>
  <c r="O27" i="14"/>
  <c r="P27" i="14" s="1"/>
  <c r="P26" i="14"/>
  <c r="O26" i="14"/>
  <c r="O25" i="14"/>
  <c r="P25" i="14" s="1"/>
  <c r="P24" i="14"/>
  <c r="O24" i="14"/>
  <c r="O23" i="14"/>
  <c r="P23" i="14" s="1"/>
  <c r="P22" i="14"/>
  <c r="O22" i="14"/>
  <c r="O21" i="14"/>
  <c r="P21" i="14" s="1"/>
  <c r="P20" i="14"/>
  <c r="O20" i="14"/>
  <c r="O19" i="14"/>
  <c r="P19" i="14" s="1"/>
  <c r="P18" i="14"/>
  <c r="O18" i="14"/>
  <c r="O17" i="14"/>
  <c r="P17" i="14" s="1"/>
  <c r="P16" i="14"/>
  <c r="O16" i="14"/>
  <c r="W514" i="13"/>
  <c r="W513" i="13"/>
  <c r="W512" i="13"/>
  <c r="W511" i="13"/>
  <c r="W510" i="13"/>
  <c r="W509" i="13"/>
  <c r="W508" i="13"/>
  <c r="W507" i="13"/>
  <c r="W506" i="13"/>
  <c r="W505" i="13"/>
  <c r="W504" i="13"/>
  <c r="W503" i="13"/>
  <c r="W502" i="13"/>
  <c r="W501" i="13"/>
  <c r="W500" i="13"/>
  <c r="W499" i="13"/>
  <c r="W498" i="13"/>
  <c r="W497" i="13"/>
  <c r="W496" i="13"/>
  <c r="W495" i="13"/>
  <c r="W494" i="13"/>
  <c r="W493" i="13"/>
  <c r="W492" i="13"/>
  <c r="W491" i="13"/>
  <c r="W490" i="13"/>
  <c r="W489" i="13"/>
  <c r="W488" i="13"/>
  <c r="W487" i="13"/>
  <c r="W486" i="13"/>
  <c r="W485" i="13"/>
  <c r="W484" i="13"/>
  <c r="W483" i="13"/>
  <c r="W482" i="13"/>
  <c r="W481" i="13"/>
  <c r="W480" i="13"/>
  <c r="W479" i="13"/>
  <c r="W478" i="13"/>
  <c r="W477" i="13"/>
  <c r="W476" i="13"/>
  <c r="W475" i="13"/>
  <c r="W474" i="13"/>
  <c r="W473" i="13"/>
  <c r="W472" i="13"/>
  <c r="W471" i="13"/>
  <c r="W470" i="13"/>
  <c r="W469" i="13"/>
  <c r="W468" i="13"/>
  <c r="W467" i="13"/>
  <c r="W466" i="13"/>
  <c r="W465" i="13"/>
  <c r="W464" i="13"/>
  <c r="W463" i="13"/>
  <c r="W462" i="13"/>
  <c r="W461" i="13"/>
  <c r="W460" i="13"/>
  <c r="W459" i="13"/>
  <c r="W458" i="13"/>
  <c r="W457" i="13"/>
  <c r="W456" i="13"/>
  <c r="W455" i="13"/>
  <c r="W454" i="13"/>
  <c r="W453" i="13"/>
  <c r="W452" i="13"/>
  <c r="W451" i="13"/>
  <c r="W450" i="13"/>
  <c r="W449" i="13"/>
  <c r="W448" i="13"/>
  <c r="W447" i="13"/>
  <c r="W446" i="13"/>
  <c r="W445" i="13"/>
  <c r="W444" i="13"/>
  <c r="W443" i="13"/>
  <c r="W442" i="13"/>
  <c r="W441" i="13"/>
  <c r="W440" i="13"/>
  <c r="W439" i="13"/>
  <c r="W438" i="13"/>
  <c r="W437" i="13"/>
  <c r="W436" i="13"/>
  <c r="W435" i="13"/>
  <c r="W434" i="13"/>
  <c r="W433" i="13"/>
  <c r="W432" i="13"/>
  <c r="W431" i="13"/>
  <c r="W430" i="13"/>
  <c r="W429" i="13"/>
  <c r="W428" i="13"/>
  <c r="W427" i="13"/>
  <c r="W426" i="13"/>
  <c r="W425" i="13"/>
  <c r="W424" i="13"/>
  <c r="W423" i="13"/>
  <c r="W422" i="13"/>
  <c r="W421" i="13"/>
  <c r="W420" i="13"/>
  <c r="W419" i="13"/>
  <c r="W418" i="13"/>
  <c r="W417" i="13"/>
  <c r="W416" i="13"/>
  <c r="W415" i="13"/>
  <c r="W414" i="13"/>
  <c r="W413" i="13"/>
  <c r="W412" i="13"/>
  <c r="W411" i="13"/>
  <c r="W410" i="13"/>
  <c r="W409" i="13"/>
  <c r="W408" i="13"/>
  <c r="W407" i="13"/>
  <c r="W406" i="13"/>
  <c r="W405" i="13"/>
  <c r="W404" i="13"/>
  <c r="W403" i="13"/>
  <c r="W402" i="13"/>
  <c r="W401" i="13"/>
  <c r="W400" i="13"/>
  <c r="W399" i="13"/>
  <c r="W398" i="13"/>
  <c r="W397" i="13"/>
  <c r="W396" i="13"/>
  <c r="W395" i="13"/>
  <c r="W394" i="13"/>
  <c r="W393" i="13"/>
  <c r="W392" i="13"/>
  <c r="W391" i="13"/>
  <c r="W390" i="13"/>
  <c r="W389" i="13"/>
  <c r="W388" i="13"/>
  <c r="W387" i="13"/>
  <c r="W386" i="13"/>
  <c r="W385" i="13"/>
  <c r="W384" i="13"/>
  <c r="W383" i="13"/>
  <c r="W382" i="13"/>
  <c r="W381" i="13"/>
  <c r="W380" i="13"/>
  <c r="W379" i="13"/>
  <c r="W378" i="13"/>
  <c r="W377" i="13"/>
  <c r="W376" i="13"/>
  <c r="W375" i="13"/>
  <c r="W374" i="13"/>
  <c r="W373" i="13"/>
  <c r="W372" i="13"/>
  <c r="W371" i="13"/>
  <c r="W370" i="13"/>
  <c r="W369" i="13"/>
  <c r="W368" i="13"/>
  <c r="W367" i="13"/>
  <c r="W366" i="13"/>
  <c r="W365" i="13"/>
  <c r="W364" i="13"/>
  <c r="W363" i="13"/>
  <c r="W362" i="13"/>
  <c r="W361" i="13"/>
  <c r="W360" i="13"/>
  <c r="W359" i="13"/>
  <c r="W358" i="13"/>
  <c r="W357" i="13"/>
  <c r="W356" i="13"/>
  <c r="W355" i="13"/>
  <c r="W354" i="13"/>
  <c r="W353" i="13"/>
  <c r="W352" i="13"/>
  <c r="W351" i="13"/>
  <c r="W350" i="13"/>
  <c r="W349" i="13"/>
  <c r="W348" i="13"/>
  <c r="W347" i="13"/>
  <c r="W346" i="13"/>
  <c r="W345" i="13"/>
  <c r="W344" i="13"/>
  <c r="W343" i="13"/>
  <c r="W342" i="13"/>
  <c r="W341" i="13"/>
  <c r="W340" i="13"/>
  <c r="W339" i="13"/>
  <c r="W338" i="13"/>
  <c r="W337" i="13"/>
  <c r="W336" i="13"/>
  <c r="W335" i="13"/>
  <c r="W334" i="13"/>
  <c r="W333" i="13"/>
  <c r="W332" i="13"/>
  <c r="W331" i="13"/>
  <c r="W330" i="13"/>
  <c r="W329" i="13"/>
  <c r="W328" i="13"/>
  <c r="W327" i="13"/>
  <c r="W326" i="13"/>
  <c r="W325" i="13"/>
  <c r="W324" i="13"/>
  <c r="W323" i="13"/>
  <c r="W322" i="13"/>
  <c r="W321" i="13"/>
  <c r="W320" i="13"/>
  <c r="W319" i="13"/>
  <c r="W318" i="13"/>
  <c r="W317" i="13"/>
  <c r="W316" i="13"/>
  <c r="W315" i="13"/>
  <c r="W314" i="13"/>
  <c r="W313" i="13"/>
  <c r="W312" i="13"/>
  <c r="W311" i="13"/>
  <c r="W310" i="13"/>
  <c r="W309" i="13"/>
  <c r="W308" i="13"/>
  <c r="W307" i="13"/>
  <c r="W306" i="13"/>
  <c r="W305" i="13"/>
  <c r="W304" i="13"/>
  <c r="W303" i="13"/>
  <c r="W302" i="13"/>
  <c r="W301" i="13"/>
  <c r="W300" i="13"/>
  <c r="W299" i="13"/>
  <c r="W298" i="13"/>
  <c r="W297" i="13"/>
  <c r="W296" i="13"/>
  <c r="W295" i="13"/>
  <c r="W294" i="13"/>
  <c r="W293" i="13"/>
  <c r="W292" i="13"/>
  <c r="W291" i="13"/>
  <c r="W290" i="13"/>
  <c r="W289" i="13"/>
  <c r="W288" i="13"/>
  <c r="W287" i="13"/>
  <c r="W286" i="13"/>
  <c r="W285" i="13"/>
  <c r="W284" i="13"/>
  <c r="W283" i="13"/>
  <c r="W282" i="13"/>
  <c r="W281" i="13"/>
  <c r="W280" i="13"/>
  <c r="W279" i="13"/>
  <c r="W278" i="13"/>
  <c r="W277" i="13"/>
  <c r="W276" i="13"/>
  <c r="W275" i="13"/>
  <c r="W274" i="13"/>
  <c r="W273" i="13"/>
  <c r="W272" i="13"/>
  <c r="W271" i="13"/>
  <c r="W270" i="13"/>
  <c r="W269" i="13"/>
  <c r="W268" i="13"/>
  <c r="W267" i="13"/>
  <c r="W266" i="13"/>
  <c r="W265" i="13"/>
  <c r="W264" i="13"/>
  <c r="W263" i="13"/>
  <c r="W262" i="13"/>
  <c r="W261" i="13"/>
  <c r="W260" i="13"/>
  <c r="W259" i="13"/>
  <c r="W258" i="13"/>
  <c r="W257" i="13"/>
  <c r="W256" i="13"/>
  <c r="W255" i="13"/>
  <c r="W254" i="13"/>
  <c r="W253" i="13"/>
  <c r="W252" i="13"/>
  <c r="W251" i="13"/>
  <c r="W250" i="13"/>
  <c r="W249" i="13"/>
  <c r="W248" i="13"/>
  <c r="W247" i="13"/>
  <c r="W246" i="13"/>
  <c r="W245" i="13"/>
  <c r="W244" i="13"/>
  <c r="W243" i="13"/>
  <c r="W242" i="13"/>
  <c r="W241" i="13"/>
  <c r="W240" i="13"/>
  <c r="W239" i="13"/>
  <c r="W238" i="13"/>
  <c r="W237" i="13"/>
  <c r="W236" i="13"/>
  <c r="W235" i="13"/>
  <c r="W234" i="13"/>
  <c r="W233" i="13"/>
  <c r="W232" i="13"/>
  <c r="W231" i="13"/>
  <c r="W230" i="13"/>
  <c r="W229" i="13"/>
  <c r="W228" i="13"/>
  <c r="W227" i="13"/>
  <c r="W226" i="13"/>
  <c r="W225" i="13"/>
  <c r="W224" i="13"/>
  <c r="W223" i="13"/>
  <c r="W222" i="13"/>
  <c r="W221" i="13"/>
  <c r="W220" i="13"/>
  <c r="W219" i="13"/>
  <c r="W218" i="13"/>
  <c r="W217" i="13"/>
  <c r="W216" i="13"/>
  <c r="W215" i="13"/>
  <c r="W214" i="13"/>
  <c r="W213" i="13"/>
  <c r="W212" i="13"/>
  <c r="W211" i="13"/>
  <c r="W210" i="13"/>
  <c r="W209" i="13"/>
  <c r="W208" i="13"/>
  <c r="W207" i="13"/>
  <c r="W206" i="13"/>
  <c r="W205" i="13"/>
  <c r="W204" i="13"/>
  <c r="W203" i="13"/>
  <c r="W202" i="13"/>
  <c r="W201" i="13"/>
  <c r="W200" i="13"/>
  <c r="W199" i="13"/>
  <c r="W198" i="13"/>
  <c r="W197" i="13"/>
  <c r="W196" i="13"/>
  <c r="W195" i="13"/>
  <c r="W194" i="13"/>
  <c r="W193" i="13"/>
  <c r="W192" i="13"/>
  <c r="W191" i="13"/>
  <c r="W190" i="13"/>
  <c r="W189" i="13"/>
  <c r="W188" i="13"/>
  <c r="W187" i="13"/>
  <c r="W186" i="13"/>
  <c r="W185" i="13"/>
  <c r="W184" i="13"/>
  <c r="W183" i="13"/>
  <c r="W182" i="13"/>
  <c r="W181" i="13"/>
  <c r="W180" i="13"/>
  <c r="W179" i="13"/>
  <c r="W178" i="13"/>
  <c r="W177" i="13"/>
  <c r="W176" i="13"/>
  <c r="W175" i="13"/>
  <c r="W174" i="13"/>
  <c r="W173" i="13"/>
  <c r="W172" i="13"/>
  <c r="W171" i="13"/>
  <c r="W170" i="13"/>
  <c r="W169" i="13"/>
  <c r="W168" i="13"/>
  <c r="W167" i="13"/>
  <c r="W166" i="13"/>
  <c r="W165" i="13"/>
  <c r="W164" i="13"/>
  <c r="W163" i="13"/>
  <c r="W162" i="13"/>
  <c r="W161" i="13"/>
  <c r="W160" i="13"/>
  <c r="W159" i="13"/>
  <c r="W158" i="13"/>
  <c r="W157" i="13"/>
  <c r="W156" i="13"/>
  <c r="W155" i="13"/>
  <c r="W154" i="13"/>
  <c r="W153" i="13"/>
  <c r="W152" i="13"/>
  <c r="W151" i="13"/>
  <c r="W150" i="13"/>
  <c r="W149" i="13"/>
  <c r="W148" i="13"/>
  <c r="W147" i="13"/>
  <c r="W146" i="13"/>
  <c r="W145" i="13"/>
  <c r="W144" i="13"/>
  <c r="W143" i="13"/>
  <c r="W142" i="13"/>
  <c r="W141" i="13"/>
  <c r="W140" i="13"/>
  <c r="W139" i="13"/>
  <c r="W138" i="13"/>
  <c r="W137" i="13"/>
  <c r="W136" i="13"/>
  <c r="W135" i="13"/>
  <c r="W134" i="13"/>
  <c r="W133" i="13"/>
  <c r="W132" i="13"/>
  <c r="W131" i="13"/>
  <c r="W130" i="13"/>
  <c r="W129" i="13"/>
  <c r="W128" i="13"/>
  <c r="W127" i="13"/>
  <c r="W126" i="13"/>
  <c r="W125" i="13"/>
  <c r="W124" i="13"/>
  <c r="W123" i="13"/>
  <c r="W122" i="13"/>
  <c r="W121" i="13"/>
  <c r="W120" i="13"/>
  <c r="W119" i="13"/>
  <c r="W118" i="13"/>
  <c r="W117" i="13"/>
  <c r="W116" i="13"/>
  <c r="W115" i="13"/>
  <c r="W114" i="13"/>
  <c r="W113" i="13"/>
  <c r="W112" i="13"/>
  <c r="W111" i="13"/>
  <c r="W110" i="13"/>
  <c r="W109" i="13"/>
  <c r="W108" i="13"/>
  <c r="W107" i="13"/>
  <c r="W106" i="13"/>
  <c r="W105" i="13"/>
  <c r="W104" i="13"/>
  <c r="W103" i="13"/>
  <c r="W102" i="13"/>
  <c r="W101" i="13"/>
  <c r="W100" i="13"/>
  <c r="W99" i="13"/>
  <c r="W98" i="13"/>
  <c r="W97" i="13"/>
  <c r="W96" i="13"/>
  <c r="W95" i="13"/>
  <c r="W94" i="13"/>
  <c r="W93" i="13"/>
  <c r="W92" i="13"/>
  <c r="W91" i="13"/>
  <c r="W90" i="13"/>
  <c r="W89" i="13"/>
  <c r="W88" i="13"/>
  <c r="W87" i="13"/>
  <c r="W86" i="13"/>
  <c r="W85" i="13"/>
  <c r="W84" i="13"/>
  <c r="W83" i="13"/>
  <c r="W82" i="13"/>
  <c r="W81" i="13"/>
  <c r="W80" i="13"/>
  <c r="W79" i="13"/>
  <c r="W78" i="13"/>
  <c r="W77" i="13"/>
  <c r="W76" i="13"/>
  <c r="W75" i="13"/>
  <c r="W74" i="13"/>
  <c r="W73" i="13"/>
  <c r="W72" i="13"/>
  <c r="W71" i="13"/>
  <c r="W70" i="13"/>
  <c r="W69" i="13"/>
  <c r="W68" i="13"/>
  <c r="W67" i="13"/>
  <c r="W66" i="13"/>
  <c r="W65" i="13"/>
  <c r="W64" i="13"/>
  <c r="W63" i="13"/>
  <c r="W62" i="13"/>
  <c r="W61" i="13"/>
  <c r="W60" i="13"/>
  <c r="W59" i="13"/>
  <c r="W58" i="13"/>
  <c r="W57" i="13"/>
  <c r="W56" i="13"/>
  <c r="W55" i="13"/>
  <c r="W54" i="13"/>
  <c r="W53" i="13"/>
  <c r="W52" i="13"/>
  <c r="W51" i="13"/>
  <c r="W50" i="13"/>
  <c r="W49" i="13"/>
  <c r="W48" i="13"/>
  <c r="W47" i="13"/>
  <c r="W46" i="13"/>
  <c r="W45" i="13"/>
  <c r="W44" i="13"/>
  <c r="W43" i="13"/>
  <c r="W42" i="13"/>
  <c r="W41" i="13"/>
  <c r="W40" i="13"/>
  <c r="W39" i="13"/>
  <c r="W38" i="13"/>
  <c r="W37" i="13"/>
  <c r="W36" i="13"/>
  <c r="W35" i="13"/>
  <c r="W34" i="13"/>
  <c r="W33" i="13"/>
  <c r="W32" i="13"/>
  <c r="W31" i="13"/>
  <c r="W30" i="13"/>
  <c r="W29" i="13"/>
  <c r="W28" i="13"/>
  <c r="W27" i="13"/>
  <c r="W26" i="13"/>
  <c r="W25" i="13"/>
  <c r="W24" i="13"/>
  <c r="W23" i="13"/>
  <c r="W22" i="13"/>
  <c r="W21" i="13"/>
  <c r="W20" i="13"/>
  <c r="W19" i="13"/>
  <c r="W18" i="13"/>
  <c r="W17" i="13"/>
  <c r="W16" i="13"/>
  <c r="O514" i="13"/>
  <c r="P514" i="13" s="1"/>
  <c r="O513" i="13"/>
  <c r="P513" i="13" s="1"/>
  <c r="O512" i="13"/>
  <c r="P512" i="13" s="1"/>
  <c r="O511" i="13"/>
  <c r="P511" i="13" s="1"/>
  <c r="O510" i="13"/>
  <c r="P510" i="13" s="1"/>
  <c r="O509" i="13"/>
  <c r="P509" i="13" s="1"/>
  <c r="O508" i="13"/>
  <c r="P508" i="13" s="1"/>
  <c r="O507" i="13"/>
  <c r="P507" i="13" s="1"/>
  <c r="O506" i="13"/>
  <c r="P506" i="13" s="1"/>
  <c r="O505" i="13"/>
  <c r="P505" i="13" s="1"/>
  <c r="O504" i="13"/>
  <c r="P504" i="13" s="1"/>
  <c r="O503" i="13"/>
  <c r="P503" i="13" s="1"/>
  <c r="O502" i="13"/>
  <c r="P502" i="13" s="1"/>
  <c r="O501" i="13"/>
  <c r="P501" i="13" s="1"/>
  <c r="O500" i="13"/>
  <c r="P500" i="13" s="1"/>
  <c r="O499" i="13"/>
  <c r="P499" i="13" s="1"/>
  <c r="O498" i="13"/>
  <c r="P498" i="13" s="1"/>
  <c r="O497" i="13"/>
  <c r="P497" i="13" s="1"/>
  <c r="O496" i="13"/>
  <c r="P496" i="13" s="1"/>
  <c r="O495" i="13"/>
  <c r="P495" i="13" s="1"/>
  <c r="O494" i="13"/>
  <c r="P494" i="13" s="1"/>
  <c r="O493" i="13"/>
  <c r="P493" i="13" s="1"/>
  <c r="O492" i="13"/>
  <c r="P492" i="13" s="1"/>
  <c r="O491" i="13"/>
  <c r="P491" i="13" s="1"/>
  <c r="O490" i="13"/>
  <c r="P490" i="13" s="1"/>
  <c r="O489" i="13"/>
  <c r="P489" i="13" s="1"/>
  <c r="O488" i="13"/>
  <c r="P488" i="13" s="1"/>
  <c r="O487" i="13"/>
  <c r="P487" i="13" s="1"/>
  <c r="O486" i="13"/>
  <c r="P486" i="13" s="1"/>
  <c r="O485" i="13"/>
  <c r="P485" i="13" s="1"/>
  <c r="O484" i="13"/>
  <c r="P484" i="13" s="1"/>
  <c r="O483" i="13"/>
  <c r="P483" i="13" s="1"/>
  <c r="O482" i="13"/>
  <c r="P482" i="13" s="1"/>
  <c r="O481" i="13"/>
  <c r="P481" i="13" s="1"/>
  <c r="O480" i="13"/>
  <c r="P480" i="13" s="1"/>
  <c r="O479" i="13"/>
  <c r="P479" i="13" s="1"/>
  <c r="O478" i="13"/>
  <c r="P478" i="13" s="1"/>
  <c r="O477" i="13"/>
  <c r="P477" i="13" s="1"/>
  <c r="O476" i="13"/>
  <c r="P476" i="13" s="1"/>
  <c r="O475" i="13"/>
  <c r="P475" i="13" s="1"/>
  <c r="O474" i="13"/>
  <c r="P474" i="13" s="1"/>
  <c r="O473" i="13"/>
  <c r="P473" i="13" s="1"/>
  <c r="O472" i="13"/>
  <c r="P472" i="13" s="1"/>
  <c r="O471" i="13"/>
  <c r="P471" i="13" s="1"/>
  <c r="O470" i="13"/>
  <c r="P470" i="13" s="1"/>
  <c r="O469" i="13"/>
  <c r="P469" i="13" s="1"/>
  <c r="O468" i="13"/>
  <c r="P468" i="13" s="1"/>
  <c r="O467" i="13"/>
  <c r="P467" i="13" s="1"/>
  <c r="O466" i="13"/>
  <c r="P466" i="13" s="1"/>
  <c r="O465" i="13"/>
  <c r="P465" i="13" s="1"/>
  <c r="O464" i="13"/>
  <c r="P464" i="13" s="1"/>
  <c r="O463" i="13"/>
  <c r="P463" i="13" s="1"/>
  <c r="O462" i="13"/>
  <c r="P462" i="13" s="1"/>
  <c r="O461" i="13"/>
  <c r="P461" i="13" s="1"/>
  <c r="O460" i="13"/>
  <c r="P460" i="13" s="1"/>
  <c r="O459" i="13"/>
  <c r="P459" i="13" s="1"/>
  <c r="O458" i="13"/>
  <c r="P458" i="13" s="1"/>
  <c r="O457" i="13"/>
  <c r="P457" i="13" s="1"/>
  <c r="O456" i="13"/>
  <c r="P456" i="13" s="1"/>
  <c r="O455" i="13"/>
  <c r="P455" i="13" s="1"/>
  <c r="O454" i="13"/>
  <c r="P454" i="13" s="1"/>
  <c r="O453" i="13"/>
  <c r="P453" i="13" s="1"/>
  <c r="O452" i="13"/>
  <c r="P452" i="13" s="1"/>
  <c r="O451" i="13"/>
  <c r="P451" i="13" s="1"/>
  <c r="O450" i="13"/>
  <c r="P450" i="13" s="1"/>
  <c r="O449" i="13"/>
  <c r="P449" i="13" s="1"/>
  <c r="O448" i="13"/>
  <c r="P448" i="13" s="1"/>
  <c r="O447" i="13"/>
  <c r="P447" i="13" s="1"/>
  <c r="O446" i="13"/>
  <c r="P446" i="13" s="1"/>
  <c r="O445" i="13"/>
  <c r="P445" i="13" s="1"/>
  <c r="O444" i="13"/>
  <c r="P444" i="13" s="1"/>
  <c r="O443" i="13"/>
  <c r="P443" i="13" s="1"/>
  <c r="O442" i="13"/>
  <c r="P442" i="13" s="1"/>
  <c r="O441" i="13"/>
  <c r="P441" i="13" s="1"/>
  <c r="O440" i="13"/>
  <c r="P440" i="13" s="1"/>
  <c r="O439" i="13"/>
  <c r="P439" i="13" s="1"/>
  <c r="O438" i="13"/>
  <c r="P438" i="13" s="1"/>
  <c r="O437" i="13"/>
  <c r="P437" i="13" s="1"/>
  <c r="O436" i="13"/>
  <c r="P436" i="13" s="1"/>
  <c r="O435" i="13"/>
  <c r="P435" i="13" s="1"/>
  <c r="O434" i="13"/>
  <c r="P434" i="13" s="1"/>
  <c r="O433" i="13"/>
  <c r="P433" i="13" s="1"/>
  <c r="O432" i="13"/>
  <c r="P432" i="13" s="1"/>
  <c r="O431" i="13"/>
  <c r="P431" i="13" s="1"/>
  <c r="O430" i="13"/>
  <c r="P430" i="13" s="1"/>
  <c r="O429" i="13"/>
  <c r="P429" i="13" s="1"/>
  <c r="O428" i="13"/>
  <c r="P428" i="13" s="1"/>
  <c r="O427" i="13"/>
  <c r="P427" i="13" s="1"/>
  <c r="O426" i="13"/>
  <c r="P426" i="13" s="1"/>
  <c r="O425" i="13"/>
  <c r="P425" i="13" s="1"/>
  <c r="O424" i="13"/>
  <c r="P424" i="13" s="1"/>
  <c r="O423" i="13"/>
  <c r="P423" i="13" s="1"/>
  <c r="O422" i="13"/>
  <c r="P422" i="13" s="1"/>
  <c r="O421" i="13"/>
  <c r="P421" i="13" s="1"/>
  <c r="O420" i="13"/>
  <c r="P420" i="13" s="1"/>
  <c r="O419" i="13"/>
  <c r="P419" i="13" s="1"/>
  <c r="O418" i="13"/>
  <c r="P418" i="13" s="1"/>
  <c r="O417" i="13"/>
  <c r="P417" i="13" s="1"/>
  <c r="O416" i="13"/>
  <c r="P416" i="13" s="1"/>
  <c r="O415" i="13"/>
  <c r="P415" i="13" s="1"/>
  <c r="O414" i="13"/>
  <c r="P414" i="13" s="1"/>
  <c r="O413" i="13"/>
  <c r="P413" i="13" s="1"/>
  <c r="O412" i="13"/>
  <c r="P412" i="13" s="1"/>
  <c r="O411" i="13"/>
  <c r="P411" i="13" s="1"/>
  <c r="O410" i="13"/>
  <c r="P410" i="13" s="1"/>
  <c r="O409" i="13"/>
  <c r="P409" i="13" s="1"/>
  <c r="O408" i="13"/>
  <c r="P408" i="13" s="1"/>
  <c r="O407" i="13"/>
  <c r="P407" i="13" s="1"/>
  <c r="O406" i="13"/>
  <c r="P406" i="13" s="1"/>
  <c r="O405" i="13"/>
  <c r="P405" i="13" s="1"/>
  <c r="O404" i="13"/>
  <c r="P404" i="13" s="1"/>
  <c r="O403" i="13"/>
  <c r="P403" i="13" s="1"/>
  <c r="O402" i="13"/>
  <c r="P402" i="13" s="1"/>
  <c r="O401" i="13"/>
  <c r="P401" i="13" s="1"/>
  <c r="O400" i="13"/>
  <c r="P400" i="13" s="1"/>
  <c r="O399" i="13"/>
  <c r="P399" i="13" s="1"/>
  <c r="O398" i="13"/>
  <c r="P398" i="13" s="1"/>
  <c r="O397" i="13"/>
  <c r="P397" i="13" s="1"/>
  <c r="O396" i="13"/>
  <c r="P396" i="13" s="1"/>
  <c r="O395" i="13"/>
  <c r="P395" i="13" s="1"/>
  <c r="O394" i="13"/>
  <c r="P394" i="13" s="1"/>
  <c r="O393" i="13"/>
  <c r="P393" i="13" s="1"/>
  <c r="O392" i="13"/>
  <c r="P392" i="13" s="1"/>
  <c r="O391" i="13"/>
  <c r="P391" i="13" s="1"/>
  <c r="O390" i="13"/>
  <c r="P390" i="13" s="1"/>
  <c r="O389" i="13"/>
  <c r="P389" i="13" s="1"/>
  <c r="O388" i="13"/>
  <c r="P388" i="13" s="1"/>
  <c r="O387" i="13"/>
  <c r="P387" i="13" s="1"/>
  <c r="O386" i="13"/>
  <c r="P386" i="13" s="1"/>
  <c r="O385" i="13"/>
  <c r="P385" i="13" s="1"/>
  <c r="O384" i="13"/>
  <c r="P384" i="13" s="1"/>
  <c r="O383" i="13"/>
  <c r="P383" i="13" s="1"/>
  <c r="O382" i="13"/>
  <c r="P382" i="13" s="1"/>
  <c r="O381" i="13"/>
  <c r="P381" i="13" s="1"/>
  <c r="O380" i="13"/>
  <c r="P380" i="13" s="1"/>
  <c r="O379" i="13"/>
  <c r="P379" i="13" s="1"/>
  <c r="O378" i="13"/>
  <c r="P378" i="13" s="1"/>
  <c r="O377" i="13"/>
  <c r="P377" i="13" s="1"/>
  <c r="O376" i="13"/>
  <c r="P376" i="13" s="1"/>
  <c r="O375" i="13"/>
  <c r="P375" i="13" s="1"/>
  <c r="O374" i="13"/>
  <c r="P374" i="13" s="1"/>
  <c r="O373" i="13"/>
  <c r="P373" i="13" s="1"/>
  <c r="O372" i="13"/>
  <c r="P372" i="13" s="1"/>
  <c r="O371" i="13"/>
  <c r="P371" i="13" s="1"/>
  <c r="O370" i="13"/>
  <c r="P370" i="13" s="1"/>
  <c r="O369" i="13"/>
  <c r="P369" i="13" s="1"/>
  <c r="O368" i="13"/>
  <c r="P368" i="13" s="1"/>
  <c r="O367" i="13"/>
  <c r="P367" i="13" s="1"/>
  <c r="O366" i="13"/>
  <c r="P366" i="13" s="1"/>
  <c r="O365" i="13"/>
  <c r="P365" i="13" s="1"/>
  <c r="O364" i="13"/>
  <c r="P364" i="13" s="1"/>
  <c r="O363" i="13"/>
  <c r="P363" i="13" s="1"/>
  <c r="O362" i="13"/>
  <c r="P362" i="13" s="1"/>
  <c r="O361" i="13"/>
  <c r="P361" i="13" s="1"/>
  <c r="O360" i="13"/>
  <c r="P360" i="13" s="1"/>
  <c r="O359" i="13"/>
  <c r="P359" i="13" s="1"/>
  <c r="O358" i="13"/>
  <c r="P358" i="13" s="1"/>
  <c r="O357" i="13"/>
  <c r="P357" i="13" s="1"/>
  <c r="O356" i="13"/>
  <c r="P356" i="13" s="1"/>
  <c r="O355" i="13"/>
  <c r="P355" i="13" s="1"/>
  <c r="O354" i="13"/>
  <c r="P354" i="13" s="1"/>
  <c r="O353" i="13"/>
  <c r="P353" i="13" s="1"/>
  <c r="O352" i="13"/>
  <c r="P352" i="13" s="1"/>
  <c r="O351" i="13"/>
  <c r="P351" i="13" s="1"/>
  <c r="O350" i="13"/>
  <c r="P350" i="13" s="1"/>
  <c r="O349" i="13"/>
  <c r="P349" i="13" s="1"/>
  <c r="O348" i="13"/>
  <c r="P348" i="13" s="1"/>
  <c r="O347" i="13"/>
  <c r="P347" i="13" s="1"/>
  <c r="O346" i="13"/>
  <c r="P346" i="13" s="1"/>
  <c r="O345" i="13"/>
  <c r="P345" i="13" s="1"/>
  <c r="O344" i="13"/>
  <c r="P344" i="13" s="1"/>
  <c r="O343" i="13"/>
  <c r="P343" i="13" s="1"/>
  <c r="O342" i="13"/>
  <c r="P342" i="13" s="1"/>
  <c r="O341" i="13"/>
  <c r="P341" i="13" s="1"/>
  <c r="O340" i="13"/>
  <c r="P340" i="13" s="1"/>
  <c r="O339" i="13"/>
  <c r="P339" i="13" s="1"/>
  <c r="O338" i="13"/>
  <c r="P338" i="13" s="1"/>
  <c r="O337" i="13"/>
  <c r="P337" i="13" s="1"/>
  <c r="O336" i="13"/>
  <c r="P336" i="13" s="1"/>
  <c r="O335" i="13"/>
  <c r="P335" i="13" s="1"/>
  <c r="O334" i="13"/>
  <c r="P334" i="13" s="1"/>
  <c r="O333" i="13"/>
  <c r="P333" i="13" s="1"/>
  <c r="O332" i="13"/>
  <c r="P332" i="13" s="1"/>
  <c r="O331" i="13"/>
  <c r="P331" i="13" s="1"/>
  <c r="O330" i="13"/>
  <c r="P330" i="13" s="1"/>
  <c r="O329" i="13"/>
  <c r="P329" i="13" s="1"/>
  <c r="O328" i="13"/>
  <c r="P328" i="13" s="1"/>
  <c r="O327" i="13"/>
  <c r="P327" i="13" s="1"/>
  <c r="O326" i="13"/>
  <c r="P326" i="13" s="1"/>
  <c r="O325" i="13"/>
  <c r="P325" i="13" s="1"/>
  <c r="O324" i="13"/>
  <c r="P324" i="13" s="1"/>
  <c r="O323" i="13"/>
  <c r="P323" i="13" s="1"/>
  <c r="O322" i="13"/>
  <c r="P322" i="13" s="1"/>
  <c r="O321" i="13"/>
  <c r="P321" i="13" s="1"/>
  <c r="O320" i="13"/>
  <c r="P320" i="13" s="1"/>
  <c r="O319" i="13"/>
  <c r="P319" i="13" s="1"/>
  <c r="O318" i="13"/>
  <c r="P318" i="13" s="1"/>
  <c r="O317" i="13"/>
  <c r="P317" i="13" s="1"/>
  <c r="O316" i="13"/>
  <c r="P316" i="13" s="1"/>
  <c r="O315" i="13"/>
  <c r="P315" i="13" s="1"/>
  <c r="O314" i="13"/>
  <c r="P314" i="13" s="1"/>
  <c r="O313" i="13"/>
  <c r="P313" i="13" s="1"/>
  <c r="O312" i="13"/>
  <c r="P312" i="13" s="1"/>
  <c r="O311" i="13"/>
  <c r="P311" i="13" s="1"/>
  <c r="O310" i="13"/>
  <c r="P310" i="13" s="1"/>
  <c r="O309" i="13"/>
  <c r="P309" i="13" s="1"/>
  <c r="O308" i="13"/>
  <c r="P308" i="13" s="1"/>
  <c r="O307" i="13"/>
  <c r="P307" i="13" s="1"/>
  <c r="O306" i="13"/>
  <c r="P306" i="13" s="1"/>
  <c r="O305" i="13"/>
  <c r="P305" i="13" s="1"/>
  <c r="O304" i="13"/>
  <c r="P304" i="13" s="1"/>
  <c r="O303" i="13"/>
  <c r="P303" i="13" s="1"/>
  <c r="O302" i="13"/>
  <c r="P302" i="13" s="1"/>
  <c r="O301" i="13"/>
  <c r="P301" i="13" s="1"/>
  <c r="O300" i="13"/>
  <c r="P300" i="13" s="1"/>
  <c r="O299" i="13"/>
  <c r="P299" i="13" s="1"/>
  <c r="O298" i="13"/>
  <c r="P298" i="13" s="1"/>
  <c r="O297" i="13"/>
  <c r="P297" i="13" s="1"/>
  <c r="O296" i="13"/>
  <c r="P296" i="13" s="1"/>
  <c r="O295" i="13"/>
  <c r="P295" i="13" s="1"/>
  <c r="O294" i="13"/>
  <c r="P294" i="13" s="1"/>
  <c r="O293" i="13"/>
  <c r="P293" i="13" s="1"/>
  <c r="O292" i="13"/>
  <c r="P292" i="13" s="1"/>
  <c r="O291" i="13"/>
  <c r="P291" i="13" s="1"/>
  <c r="O290" i="13"/>
  <c r="P290" i="13" s="1"/>
  <c r="O289" i="13"/>
  <c r="P289" i="13" s="1"/>
  <c r="O288" i="13"/>
  <c r="P288" i="13" s="1"/>
  <c r="O287" i="13"/>
  <c r="P287" i="13" s="1"/>
  <c r="O286" i="13"/>
  <c r="P286" i="13" s="1"/>
  <c r="O285" i="13"/>
  <c r="P285" i="13" s="1"/>
  <c r="O284" i="13"/>
  <c r="P284" i="13" s="1"/>
  <c r="O283" i="13"/>
  <c r="P283" i="13" s="1"/>
  <c r="O282" i="13"/>
  <c r="P282" i="13" s="1"/>
  <c r="P281" i="13"/>
  <c r="O281" i="13"/>
  <c r="P280" i="13"/>
  <c r="O280" i="13"/>
  <c r="O279" i="13"/>
  <c r="P279" i="13" s="1"/>
  <c r="O278" i="13"/>
  <c r="P278" i="13" s="1"/>
  <c r="O277" i="13"/>
  <c r="P277" i="13" s="1"/>
  <c r="O276" i="13"/>
  <c r="P276" i="13" s="1"/>
  <c r="O275" i="13"/>
  <c r="P275" i="13" s="1"/>
  <c r="O274" i="13"/>
  <c r="P274" i="13" s="1"/>
  <c r="P273" i="13"/>
  <c r="O273" i="13"/>
  <c r="P272" i="13"/>
  <c r="O272" i="13"/>
  <c r="O271" i="13"/>
  <c r="P271" i="13" s="1"/>
  <c r="O270" i="13"/>
  <c r="P270" i="13" s="1"/>
  <c r="O269" i="13"/>
  <c r="P269" i="13" s="1"/>
  <c r="O268" i="13"/>
  <c r="P268" i="13" s="1"/>
  <c r="O267" i="13"/>
  <c r="P267" i="13" s="1"/>
  <c r="P266" i="13"/>
  <c r="O266" i="13"/>
  <c r="O265" i="13"/>
  <c r="P265" i="13" s="1"/>
  <c r="P264" i="13"/>
  <c r="O264" i="13"/>
  <c r="O263" i="13"/>
  <c r="P263" i="13" s="1"/>
  <c r="O262" i="13"/>
  <c r="P262" i="13" s="1"/>
  <c r="O261" i="13"/>
  <c r="P261" i="13" s="1"/>
  <c r="O260" i="13"/>
  <c r="P260" i="13" s="1"/>
  <c r="O259" i="13"/>
  <c r="P259" i="13" s="1"/>
  <c r="P258" i="13"/>
  <c r="O258" i="13"/>
  <c r="P257" i="13"/>
  <c r="O257" i="13"/>
  <c r="O256" i="13"/>
  <c r="P256" i="13" s="1"/>
  <c r="O255" i="13"/>
  <c r="P255" i="13" s="1"/>
  <c r="O254" i="13"/>
  <c r="P254" i="13" s="1"/>
  <c r="O253" i="13"/>
  <c r="P253" i="13" s="1"/>
  <c r="O252" i="13"/>
  <c r="P252" i="13" s="1"/>
  <c r="O251" i="13"/>
  <c r="P251" i="13" s="1"/>
  <c r="P250" i="13"/>
  <c r="O250" i="13"/>
  <c r="P249" i="13"/>
  <c r="O249" i="13"/>
  <c r="P248" i="13"/>
  <c r="O248" i="13"/>
  <c r="O247" i="13"/>
  <c r="P247" i="13" s="1"/>
  <c r="O246" i="13"/>
  <c r="P246" i="13" s="1"/>
  <c r="O245" i="13"/>
  <c r="P245" i="13" s="1"/>
  <c r="O244" i="13"/>
  <c r="P244" i="13" s="1"/>
  <c r="O243" i="13"/>
  <c r="P243" i="13" s="1"/>
  <c r="O242" i="13"/>
  <c r="P242" i="13" s="1"/>
  <c r="P241" i="13"/>
  <c r="O241" i="13"/>
  <c r="P240" i="13"/>
  <c r="O240" i="13"/>
  <c r="O239" i="13"/>
  <c r="P239" i="13" s="1"/>
  <c r="O238" i="13"/>
  <c r="P238" i="13" s="1"/>
  <c r="O237" i="13"/>
  <c r="P237" i="13" s="1"/>
  <c r="O236" i="13"/>
  <c r="P236" i="13" s="1"/>
  <c r="O235" i="13"/>
  <c r="P235" i="13" s="1"/>
  <c r="P234" i="13"/>
  <c r="O234" i="13"/>
  <c r="O233" i="13"/>
  <c r="P233" i="13" s="1"/>
  <c r="P232" i="13"/>
  <c r="O232" i="13"/>
  <c r="O231" i="13"/>
  <c r="P231" i="13" s="1"/>
  <c r="O230" i="13"/>
  <c r="P230" i="13" s="1"/>
  <c r="O229" i="13"/>
  <c r="P229" i="13" s="1"/>
  <c r="O228" i="13"/>
  <c r="P228" i="13" s="1"/>
  <c r="O227" i="13"/>
  <c r="P227" i="13" s="1"/>
  <c r="P226" i="13"/>
  <c r="O226" i="13"/>
  <c r="P225" i="13"/>
  <c r="O225" i="13"/>
  <c r="O224" i="13"/>
  <c r="P224" i="13" s="1"/>
  <c r="O223" i="13"/>
  <c r="P223" i="13" s="1"/>
  <c r="O222" i="13"/>
  <c r="P222" i="13" s="1"/>
  <c r="O221" i="13"/>
  <c r="P221" i="13" s="1"/>
  <c r="O220" i="13"/>
  <c r="P220" i="13" s="1"/>
  <c r="O219" i="13"/>
  <c r="P219" i="13" s="1"/>
  <c r="P218" i="13"/>
  <c r="O218" i="13"/>
  <c r="P217" i="13"/>
  <c r="O217" i="13"/>
  <c r="P216" i="13"/>
  <c r="O216" i="13"/>
  <c r="O215" i="13"/>
  <c r="P215" i="13" s="1"/>
  <c r="O214" i="13"/>
  <c r="P214" i="13" s="1"/>
  <c r="O213" i="13"/>
  <c r="P213" i="13" s="1"/>
  <c r="O212" i="13"/>
  <c r="P212" i="13" s="1"/>
  <c r="O211" i="13"/>
  <c r="P211" i="13" s="1"/>
  <c r="O210" i="13"/>
  <c r="P210" i="13" s="1"/>
  <c r="P209" i="13"/>
  <c r="O209" i="13"/>
  <c r="P208" i="13"/>
  <c r="O208" i="13"/>
  <c r="O207" i="13"/>
  <c r="P207" i="13" s="1"/>
  <c r="O206" i="13"/>
  <c r="P206" i="13" s="1"/>
  <c r="O205" i="13"/>
  <c r="P205" i="13" s="1"/>
  <c r="O204" i="13"/>
  <c r="P204" i="13" s="1"/>
  <c r="O203" i="13"/>
  <c r="P203" i="13" s="1"/>
  <c r="P202" i="13"/>
  <c r="O202" i="13"/>
  <c r="O201" i="13"/>
  <c r="P201" i="13" s="1"/>
  <c r="P200" i="13"/>
  <c r="O200" i="13"/>
  <c r="O199" i="13"/>
  <c r="P199" i="13" s="1"/>
  <c r="O198" i="13"/>
  <c r="P198" i="13" s="1"/>
  <c r="O197" i="13"/>
  <c r="P197" i="13" s="1"/>
  <c r="O196" i="13"/>
  <c r="P196" i="13" s="1"/>
  <c r="O195" i="13"/>
  <c r="P195" i="13" s="1"/>
  <c r="P194" i="13"/>
  <c r="O194" i="13"/>
  <c r="P193" i="13"/>
  <c r="O193" i="13"/>
  <c r="O192" i="13"/>
  <c r="P192" i="13" s="1"/>
  <c r="O191" i="13"/>
  <c r="P191" i="13" s="1"/>
  <c r="O190" i="13"/>
  <c r="P190" i="13" s="1"/>
  <c r="O189" i="13"/>
  <c r="P189" i="13" s="1"/>
  <c r="O188" i="13"/>
  <c r="P188" i="13" s="1"/>
  <c r="O187" i="13"/>
  <c r="P187" i="13" s="1"/>
  <c r="P186" i="13"/>
  <c r="O186" i="13"/>
  <c r="P185" i="13"/>
  <c r="O185" i="13"/>
  <c r="P184" i="13"/>
  <c r="O184" i="13"/>
  <c r="O183" i="13"/>
  <c r="P183" i="13" s="1"/>
  <c r="O182" i="13"/>
  <c r="P182" i="13" s="1"/>
  <c r="O181" i="13"/>
  <c r="P181" i="13" s="1"/>
  <c r="O180" i="13"/>
  <c r="P180" i="13" s="1"/>
  <c r="O179" i="13"/>
  <c r="P179" i="13" s="1"/>
  <c r="O178" i="13"/>
  <c r="P178" i="13" s="1"/>
  <c r="P177" i="13"/>
  <c r="O177" i="13"/>
  <c r="P176" i="13"/>
  <c r="O176" i="13"/>
  <c r="O175" i="13"/>
  <c r="P175" i="13" s="1"/>
  <c r="O174" i="13"/>
  <c r="P174" i="13" s="1"/>
  <c r="O173" i="13"/>
  <c r="P173" i="13" s="1"/>
  <c r="O172" i="13"/>
  <c r="P172" i="13" s="1"/>
  <c r="O171" i="13"/>
  <c r="P171" i="13" s="1"/>
  <c r="O170" i="13"/>
  <c r="P170" i="13" s="1"/>
  <c r="O169" i="13"/>
  <c r="P169" i="13" s="1"/>
  <c r="O168" i="13"/>
  <c r="P168" i="13" s="1"/>
  <c r="O167" i="13"/>
  <c r="P167" i="13" s="1"/>
  <c r="O166" i="13"/>
  <c r="P166" i="13" s="1"/>
  <c r="O165" i="13"/>
  <c r="P165" i="13" s="1"/>
  <c r="O164" i="13"/>
  <c r="P164" i="13" s="1"/>
  <c r="O163" i="13"/>
  <c r="P163" i="13" s="1"/>
  <c r="O162" i="13"/>
  <c r="P162" i="13" s="1"/>
  <c r="O161" i="13"/>
  <c r="P161" i="13" s="1"/>
  <c r="O160" i="13"/>
  <c r="P160" i="13" s="1"/>
  <c r="O159" i="13"/>
  <c r="P159" i="13" s="1"/>
  <c r="O158" i="13"/>
  <c r="P158" i="13" s="1"/>
  <c r="O157" i="13"/>
  <c r="P157" i="13" s="1"/>
  <c r="O156" i="13"/>
  <c r="P156" i="13" s="1"/>
  <c r="O155" i="13"/>
  <c r="P155" i="13" s="1"/>
  <c r="O154" i="13"/>
  <c r="P154" i="13" s="1"/>
  <c r="O153" i="13"/>
  <c r="P153" i="13" s="1"/>
  <c r="O152" i="13"/>
  <c r="P152" i="13" s="1"/>
  <c r="O151" i="13"/>
  <c r="P151" i="13" s="1"/>
  <c r="O150" i="13"/>
  <c r="P150" i="13" s="1"/>
  <c r="O149" i="13"/>
  <c r="P149" i="13" s="1"/>
  <c r="O148" i="13"/>
  <c r="P148" i="13" s="1"/>
  <c r="O147" i="13"/>
  <c r="P147" i="13" s="1"/>
  <c r="O146" i="13"/>
  <c r="P146" i="13" s="1"/>
  <c r="O145" i="13"/>
  <c r="P145" i="13" s="1"/>
  <c r="O144" i="13"/>
  <c r="P144" i="13" s="1"/>
  <c r="O143" i="13"/>
  <c r="P143" i="13" s="1"/>
  <c r="O142" i="13"/>
  <c r="P142" i="13" s="1"/>
  <c r="O141" i="13"/>
  <c r="P141" i="13" s="1"/>
  <c r="O140" i="13"/>
  <c r="P140" i="13" s="1"/>
  <c r="O139" i="13"/>
  <c r="P139" i="13" s="1"/>
  <c r="O138" i="13"/>
  <c r="P138" i="13" s="1"/>
  <c r="O137" i="13"/>
  <c r="P137" i="13" s="1"/>
  <c r="O136" i="13"/>
  <c r="P136" i="13" s="1"/>
  <c r="O135" i="13"/>
  <c r="P135" i="13" s="1"/>
  <c r="O134" i="13"/>
  <c r="P134" i="13" s="1"/>
  <c r="O133" i="13"/>
  <c r="P133" i="13" s="1"/>
  <c r="O132" i="13"/>
  <c r="P132" i="13" s="1"/>
  <c r="O131" i="13"/>
  <c r="P131" i="13" s="1"/>
  <c r="O130" i="13"/>
  <c r="P130" i="13" s="1"/>
  <c r="O129" i="13"/>
  <c r="P129" i="13" s="1"/>
  <c r="O128" i="13"/>
  <c r="P128" i="13" s="1"/>
  <c r="O127" i="13"/>
  <c r="P127" i="13" s="1"/>
  <c r="O126" i="13"/>
  <c r="P126" i="13" s="1"/>
  <c r="O125" i="13"/>
  <c r="P125" i="13" s="1"/>
  <c r="O124" i="13"/>
  <c r="P124" i="13" s="1"/>
  <c r="O123" i="13"/>
  <c r="P123" i="13" s="1"/>
  <c r="O122" i="13"/>
  <c r="P122" i="13" s="1"/>
  <c r="O121" i="13"/>
  <c r="P121" i="13" s="1"/>
  <c r="O120" i="13"/>
  <c r="P120" i="13" s="1"/>
  <c r="O119" i="13"/>
  <c r="P119" i="13" s="1"/>
  <c r="O118" i="13"/>
  <c r="P118" i="13" s="1"/>
  <c r="O117" i="13"/>
  <c r="P117" i="13" s="1"/>
  <c r="O116" i="13"/>
  <c r="P116" i="13" s="1"/>
  <c r="O115" i="13"/>
  <c r="P115" i="13" s="1"/>
  <c r="O114" i="13"/>
  <c r="P114" i="13" s="1"/>
  <c r="O113" i="13"/>
  <c r="P113" i="13" s="1"/>
  <c r="O112" i="13"/>
  <c r="P112" i="13" s="1"/>
  <c r="O111" i="13"/>
  <c r="P111" i="13" s="1"/>
  <c r="O110" i="13"/>
  <c r="P110" i="13" s="1"/>
  <c r="O109" i="13"/>
  <c r="P109" i="13" s="1"/>
  <c r="O108" i="13"/>
  <c r="P108" i="13" s="1"/>
  <c r="O107" i="13"/>
  <c r="P107" i="13" s="1"/>
  <c r="O106" i="13"/>
  <c r="P106" i="13" s="1"/>
  <c r="O105" i="13"/>
  <c r="P105" i="13" s="1"/>
  <c r="O104" i="13"/>
  <c r="P104" i="13" s="1"/>
  <c r="O103" i="13"/>
  <c r="P103" i="13" s="1"/>
  <c r="O102" i="13"/>
  <c r="P102" i="13" s="1"/>
  <c r="O101" i="13"/>
  <c r="P101" i="13" s="1"/>
  <c r="O100" i="13"/>
  <c r="P100" i="13" s="1"/>
  <c r="O99" i="13"/>
  <c r="P99" i="13" s="1"/>
  <c r="O98" i="13"/>
  <c r="P98" i="13" s="1"/>
  <c r="O97" i="13"/>
  <c r="P97" i="13" s="1"/>
  <c r="O96" i="13"/>
  <c r="P96" i="13" s="1"/>
  <c r="O95" i="13"/>
  <c r="P95" i="13" s="1"/>
  <c r="O94" i="13"/>
  <c r="P94" i="13" s="1"/>
  <c r="O93" i="13"/>
  <c r="P93" i="13" s="1"/>
  <c r="O92" i="13"/>
  <c r="P92" i="13" s="1"/>
  <c r="O91" i="13"/>
  <c r="P91" i="13" s="1"/>
  <c r="O90" i="13"/>
  <c r="P90" i="13" s="1"/>
  <c r="O89" i="13"/>
  <c r="P89" i="13" s="1"/>
  <c r="O88" i="13"/>
  <c r="P88" i="13" s="1"/>
  <c r="O87" i="13"/>
  <c r="P87" i="13" s="1"/>
  <c r="O86" i="13"/>
  <c r="P86" i="13" s="1"/>
  <c r="O85" i="13"/>
  <c r="P85" i="13" s="1"/>
  <c r="O84" i="13"/>
  <c r="P84" i="13" s="1"/>
  <c r="O83" i="13"/>
  <c r="P83" i="13" s="1"/>
  <c r="O82" i="13"/>
  <c r="P82" i="13" s="1"/>
  <c r="O81" i="13"/>
  <c r="P81" i="13" s="1"/>
  <c r="O80" i="13"/>
  <c r="P80" i="13" s="1"/>
  <c r="O79" i="13"/>
  <c r="P79" i="13" s="1"/>
  <c r="O78" i="13"/>
  <c r="P78" i="13" s="1"/>
  <c r="O77" i="13"/>
  <c r="P77" i="13" s="1"/>
  <c r="O76" i="13"/>
  <c r="P76" i="13" s="1"/>
  <c r="O75" i="13"/>
  <c r="P75" i="13" s="1"/>
  <c r="O74" i="13"/>
  <c r="P74" i="13" s="1"/>
  <c r="O73" i="13"/>
  <c r="P73" i="13" s="1"/>
  <c r="O72" i="13"/>
  <c r="P72" i="13" s="1"/>
  <c r="O71" i="13"/>
  <c r="P71" i="13" s="1"/>
  <c r="O70" i="13"/>
  <c r="P70" i="13" s="1"/>
  <c r="O69" i="13"/>
  <c r="P69" i="13" s="1"/>
  <c r="O68" i="13"/>
  <c r="P68" i="13" s="1"/>
  <c r="O67" i="13"/>
  <c r="P67" i="13" s="1"/>
  <c r="O66" i="13"/>
  <c r="P66" i="13" s="1"/>
  <c r="O65" i="13"/>
  <c r="P65" i="13" s="1"/>
  <c r="O64" i="13"/>
  <c r="P64" i="13" s="1"/>
  <c r="O63" i="13"/>
  <c r="P63" i="13" s="1"/>
  <c r="O62" i="13"/>
  <c r="P62" i="13" s="1"/>
  <c r="O61" i="13"/>
  <c r="P61" i="13" s="1"/>
  <c r="O60" i="13"/>
  <c r="P60" i="13" s="1"/>
  <c r="O59" i="13"/>
  <c r="P59" i="13" s="1"/>
  <c r="O58" i="13"/>
  <c r="P58" i="13" s="1"/>
  <c r="O57" i="13"/>
  <c r="P57" i="13" s="1"/>
  <c r="O56" i="13"/>
  <c r="P56" i="13" s="1"/>
  <c r="O55" i="13"/>
  <c r="P55" i="13" s="1"/>
  <c r="O54" i="13"/>
  <c r="P54" i="13" s="1"/>
  <c r="O53" i="13"/>
  <c r="P53" i="13" s="1"/>
  <c r="O52" i="13"/>
  <c r="P52" i="13" s="1"/>
  <c r="O51" i="13"/>
  <c r="P51" i="13" s="1"/>
  <c r="O50" i="13"/>
  <c r="P50" i="13" s="1"/>
  <c r="O49" i="13"/>
  <c r="P49" i="13" s="1"/>
  <c r="O48" i="13"/>
  <c r="P48" i="13" s="1"/>
  <c r="O47" i="13"/>
  <c r="P47" i="13" s="1"/>
  <c r="O46" i="13"/>
  <c r="P46" i="13" s="1"/>
  <c r="O45" i="13"/>
  <c r="P45" i="13" s="1"/>
  <c r="O44" i="13"/>
  <c r="P44" i="13" s="1"/>
  <c r="O43" i="13"/>
  <c r="P43" i="13" s="1"/>
  <c r="O42" i="13"/>
  <c r="P42" i="13" s="1"/>
  <c r="O41" i="13"/>
  <c r="P41" i="13" s="1"/>
  <c r="O40" i="13"/>
  <c r="P40" i="13" s="1"/>
  <c r="O39" i="13"/>
  <c r="P39" i="13" s="1"/>
  <c r="O38" i="13"/>
  <c r="P38" i="13" s="1"/>
  <c r="O37" i="13"/>
  <c r="P37" i="13" s="1"/>
  <c r="O36" i="13"/>
  <c r="P36" i="13" s="1"/>
  <c r="O35" i="13"/>
  <c r="P35" i="13" s="1"/>
  <c r="O34" i="13"/>
  <c r="P34" i="13" s="1"/>
  <c r="O33" i="13"/>
  <c r="P33" i="13" s="1"/>
  <c r="O32" i="13"/>
  <c r="P32" i="13" s="1"/>
  <c r="O31" i="13"/>
  <c r="P31" i="13" s="1"/>
  <c r="O30" i="13"/>
  <c r="P30" i="13" s="1"/>
  <c r="O29" i="13"/>
  <c r="P29" i="13" s="1"/>
  <c r="O28" i="13"/>
  <c r="P28" i="13" s="1"/>
  <c r="O27" i="13"/>
  <c r="P27" i="13" s="1"/>
  <c r="O26" i="13"/>
  <c r="P26" i="13" s="1"/>
  <c r="O25" i="13"/>
  <c r="P25" i="13" s="1"/>
  <c r="O24" i="13"/>
  <c r="P24" i="13" s="1"/>
  <c r="O23" i="13"/>
  <c r="P23" i="13" s="1"/>
  <c r="O22" i="13"/>
  <c r="P22" i="13" s="1"/>
  <c r="O21" i="13"/>
  <c r="P21" i="13" s="1"/>
  <c r="O20" i="13"/>
  <c r="P20" i="13" s="1"/>
  <c r="O19" i="13"/>
  <c r="P19" i="13" s="1"/>
  <c r="O18" i="13"/>
  <c r="P18" i="13" s="1"/>
  <c r="O17" i="13"/>
  <c r="P17" i="13" s="1"/>
  <c r="O16" i="13"/>
  <c r="P16" i="13" s="1"/>
  <c r="W514" i="12"/>
  <c r="W513" i="12"/>
  <c r="W512" i="12"/>
  <c r="W511" i="12"/>
  <c r="W510" i="12"/>
  <c r="W509" i="12"/>
  <c r="W508" i="12"/>
  <c r="W507" i="12"/>
  <c r="W506" i="12"/>
  <c r="W505" i="12"/>
  <c r="W504" i="12"/>
  <c r="W503" i="12"/>
  <c r="W502" i="12"/>
  <c r="W501" i="12"/>
  <c r="W500" i="12"/>
  <c r="W499" i="12"/>
  <c r="W498" i="12"/>
  <c r="W497" i="12"/>
  <c r="W496" i="12"/>
  <c r="W495" i="12"/>
  <c r="W494" i="12"/>
  <c r="W493" i="12"/>
  <c r="W492" i="12"/>
  <c r="W491" i="12"/>
  <c r="W490" i="12"/>
  <c r="W489" i="12"/>
  <c r="W488" i="12"/>
  <c r="W487" i="12"/>
  <c r="W486" i="12"/>
  <c r="W485" i="12"/>
  <c r="W484" i="12"/>
  <c r="W483" i="12"/>
  <c r="W482" i="12"/>
  <c r="W481" i="12"/>
  <c r="W480" i="12"/>
  <c r="W479" i="12"/>
  <c r="W478" i="12"/>
  <c r="W477" i="12"/>
  <c r="W476" i="12"/>
  <c r="W475" i="12"/>
  <c r="W474" i="12"/>
  <c r="W473" i="12"/>
  <c r="W472" i="12"/>
  <c r="W471" i="12"/>
  <c r="W470" i="12"/>
  <c r="W469" i="12"/>
  <c r="W468" i="12"/>
  <c r="W467" i="12"/>
  <c r="W466" i="12"/>
  <c r="W465" i="12"/>
  <c r="W464" i="12"/>
  <c r="W463" i="12"/>
  <c r="W462" i="12"/>
  <c r="W461" i="12"/>
  <c r="W460" i="12"/>
  <c r="W459" i="12"/>
  <c r="W458" i="12"/>
  <c r="W457" i="12"/>
  <c r="W456" i="12"/>
  <c r="W455" i="12"/>
  <c r="W454" i="12"/>
  <c r="W453" i="12"/>
  <c r="W452" i="12"/>
  <c r="W451" i="12"/>
  <c r="W450" i="12"/>
  <c r="W449" i="12"/>
  <c r="W448" i="12"/>
  <c r="W447" i="12"/>
  <c r="W446" i="12"/>
  <c r="W445" i="12"/>
  <c r="W444" i="12"/>
  <c r="W443" i="12"/>
  <c r="W442" i="12"/>
  <c r="W441" i="12"/>
  <c r="W440" i="12"/>
  <c r="W439" i="12"/>
  <c r="W438" i="12"/>
  <c r="W437" i="12"/>
  <c r="W436" i="12"/>
  <c r="W435" i="12"/>
  <c r="W434" i="12"/>
  <c r="W433" i="12"/>
  <c r="W432" i="12"/>
  <c r="W431" i="12"/>
  <c r="W430" i="12"/>
  <c r="W429" i="12"/>
  <c r="W428" i="12"/>
  <c r="W427" i="12"/>
  <c r="W426" i="12"/>
  <c r="W425" i="12"/>
  <c r="W424" i="12"/>
  <c r="W423" i="12"/>
  <c r="W422" i="12"/>
  <c r="W421" i="12"/>
  <c r="W420" i="12"/>
  <c r="W419" i="12"/>
  <c r="W418" i="12"/>
  <c r="W417" i="12"/>
  <c r="W416" i="12"/>
  <c r="W415" i="12"/>
  <c r="W414" i="12"/>
  <c r="W413" i="12"/>
  <c r="W412" i="12"/>
  <c r="W411" i="12"/>
  <c r="W410" i="12"/>
  <c r="W409" i="12"/>
  <c r="W408" i="12"/>
  <c r="W407" i="12"/>
  <c r="W406" i="12"/>
  <c r="W405" i="12"/>
  <c r="W404" i="12"/>
  <c r="W403" i="12"/>
  <c r="W402" i="12"/>
  <c r="W401" i="12"/>
  <c r="W400" i="12"/>
  <c r="W399" i="12"/>
  <c r="W398" i="12"/>
  <c r="W397" i="12"/>
  <c r="W396" i="12"/>
  <c r="W395" i="12"/>
  <c r="W394" i="12"/>
  <c r="W393" i="12"/>
  <c r="W392" i="12"/>
  <c r="W391" i="12"/>
  <c r="W390" i="12"/>
  <c r="W389" i="12"/>
  <c r="W388" i="12"/>
  <c r="W387" i="12"/>
  <c r="W386" i="12"/>
  <c r="W385" i="12"/>
  <c r="W384" i="12"/>
  <c r="W383" i="12"/>
  <c r="W382" i="12"/>
  <c r="W381" i="12"/>
  <c r="W380" i="12"/>
  <c r="W379" i="12"/>
  <c r="W378" i="12"/>
  <c r="W377" i="12"/>
  <c r="W376" i="12"/>
  <c r="W375" i="12"/>
  <c r="W374" i="12"/>
  <c r="W373" i="12"/>
  <c r="W372" i="12"/>
  <c r="W371" i="12"/>
  <c r="W370" i="12"/>
  <c r="W369" i="12"/>
  <c r="W368" i="12"/>
  <c r="W367" i="12"/>
  <c r="W366" i="12"/>
  <c r="W365" i="12"/>
  <c r="W364" i="12"/>
  <c r="W363" i="12"/>
  <c r="W362" i="12"/>
  <c r="W361" i="12"/>
  <c r="W360" i="12"/>
  <c r="W359" i="12"/>
  <c r="W358" i="12"/>
  <c r="W357" i="12"/>
  <c r="W356" i="12"/>
  <c r="W355" i="12"/>
  <c r="W354" i="12"/>
  <c r="W353" i="12"/>
  <c r="W352" i="12"/>
  <c r="W351" i="12"/>
  <c r="W350" i="12"/>
  <c r="W349" i="12"/>
  <c r="W348" i="12"/>
  <c r="W347" i="12"/>
  <c r="W346" i="12"/>
  <c r="W345" i="12"/>
  <c r="W344" i="12"/>
  <c r="W343" i="12"/>
  <c r="W342" i="12"/>
  <c r="W341" i="12"/>
  <c r="W340" i="12"/>
  <c r="W339" i="12"/>
  <c r="W338" i="12"/>
  <c r="W337" i="12"/>
  <c r="W336" i="12"/>
  <c r="W335" i="12"/>
  <c r="W334" i="12"/>
  <c r="W333" i="12"/>
  <c r="W332" i="12"/>
  <c r="W331" i="12"/>
  <c r="W330" i="12"/>
  <c r="W329" i="12"/>
  <c r="W328" i="12"/>
  <c r="W327" i="12"/>
  <c r="W326" i="12"/>
  <c r="W325" i="12"/>
  <c r="W324" i="12"/>
  <c r="W323" i="12"/>
  <c r="W322" i="12"/>
  <c r="W321" i="12"/>
  <c r="W320" i="12"/>
  <c r="W319" i="12"/>
  <c r="W318" i="12"/>
  <c r="W317" i="12"/>
  <c r="W316" i="12"/>
  <c r="W315" i="12"/>
  <c r="W314" i="12"/>
  <c r="W313" i="12"/>
  <c r="W312" i="12"/>
  <c r="W311" i="12"/>
  <c r="W310" i="12"/>
  <c r="W309" i="12"/>
  <c r="W308" i="12"/>
  <c r="W307" i="12"/>
  <c r="W306" i="12"/>
  <c r="W305" i="12"/>
  <c r="W304" i="12"/>
  <c r="W303" i="12"/>
  <c r="W302" i="12"/>
  <c r="W301" i="12"/>
  <c r="W300" i="12"/>
  <c r="W299" i="12"/>
  <c r="W298" i="12"/>
  <c r="W297" i="12"/>
  <c r="W296" i="12"/>
  <c r="W295" i="12"/>
  <c r="W294" i="12"/>
  <c r="W293" i="12"/>
  <c r="W292" i="12"/>
  <c r="W291" i="12"/>
  <c r="W290" i="12"/>
  <c r="W289" i="12"/>
  <c r="W288" i="12"/>
  <c r="W287" i="12"/>
  <c r="W286" i="12"/>
  <c r="W285" i="12"/>
  <c r="W284" i="12"/>
  <c r="W283" i="12"/>
  <c r="W282" i="12"/>
  <c r="W281" i="12"/>
  <c r="W280" i="12"/>
  <c r="W279" i="12"/>
  <c r="W278" i="12"/>
  <c r="W277" i="12"/>
  <c r="W276" i="12"/>
  <c r="W275" i="12"/>
  <c r="W274" i="12"/>
  <c r="W273" i="12"/>
  <c r="W272" i="12"/>
  <c r="W271" i="12"/>
  <c r="W270" i="12"/>
  <c r="W269" i="12"/>
  <c r="W268" i="12"/>
  <c r="W267" i="12"/>
  <c r="W266" i="12"/>
  <c r="W265" i="12"/>
  <c r="W264" i="12"/>
  <c r="W263" i="12"/>
  <c r="W262" i="12"/>
  <c r="W261" i="12"/>
  <c r="W260" i="12"/>
  <c r="W259" i="12"/>
  <c r="W258" i="12"/>
  <c r="W257" i="12"/>
  <c r="W256" i="12"/>
  <c r="W255" i="12"/>
  <c r="W254" i="12"/>
  <c r="W253" i="12"/>
  <c r="W252" i="12"/>
  <c r="W251" i="12"/>
  <c r="W250" i="12"/>
  <c r="W249" i="12"/>
  <c r="W248" i="12"/>
  <c r="W247" i="12"/>
  <c r="W246" i="12"/>
  <c r="W245" i="12"/>
  <c r="W244" i="12"/>
  <c r="W243" i="12"/>
  <c r="W242" i="12"/>
  <c r="W241" i="12"/>
  <c r="W240" i="12"/>
  <c r="W239" i="12"/>
  <c r="W238" i="12"/>
  <c r="W237" i="12"/>
  <c r="W236" i="12"/>
  <c r="W235" i="12"/>
  <c r="W234" i="12"/>
  <c r="W233" i="12"/>
  <c r="W232" i="12"/>
  <c r="W231" i="12"/>
  <c r="W230" i="12"/>
  <c r="W229" i="12"/>
  <c r="W228" i="12"/>
  <c r="W227" i="12"/>
  <c r="W226" i="12"/>
  <c r="W225" i="12"/>
  <c r="W224" i="12"/>
  <c r="W223" i="12"/>
  <c r="W222" i="12"/>
  <c r="W221" i="12"/>
  <c r="W220" i="12"/>
  <c r="W219" i="12"/>
  <c r="W218" i="12"/>
  <c r="W217" i="12"/>
  <c r="W216" i="12"/>
  <c r="W215" i="12"/>
  <c r="W214" i="12"/>
  <c r="W213" i="12"/>
  <c r="W212" i="12"/>
  <c r="W211" i="12"/>
  <c r="W210" i="12"/>
  <c r="W209" i="12"/>
  <c r="W208" i="12"/>
  <c r="W207" i="12"/>
  <c r="W206" i="12"/>
  <c r="W205" i="12"/>
  <c r="W204" i="12"/>
  <c r="W203" i="12"/>
  <c r="W202" i="12"/>
  <c r="W201" i="12"/>
  <c r="W200" i="12"/>
  <c r="W199" i="12"/>
  <c r="W198" i="12"/>
  <c r="W197" i="12"/>
  <c r="W196" i="12"/>
  <c r="W195" i="12"/>
  <c r="W194" i="12"/>
  <c r="W193" i="12"/>
  <c r="W192" i="12"/>
  <c r="W191" i="12"/>
  <c r="W190" i="12"/>
  <c r="W189" i="12"/>
  <c r="W188" i="12"/>
  <c r="W187" i="12"/>
  <c r="W186" i="12"/>
  <c r="W185" i="12"/>
  <c r="W184" i="12"/>
  <c r="W183" i="12"/>
  <c r="W182" i="12"/>
  <c r="W181" i="12"/>
  <c r="W180" i="12"/>
  <c r="W179" i="12"/>
  <c r="W178" i="12"/>
  <c r="W177" i="12"/>
  <c r="W176" i="12"/>
  <c r="W175" i="12"/>
  <c r="W174" i="12"/>
  <c r="W173" i="12"/>
  <c r="W172" i="12"/>
  <c r="W171" i="12"/>
  <c r="W170" i="12"/>
  <c r="W169" i="12"/>
  <c r="W168" i="12"/>
  <c r="W167" i="12"/>
  <c r="W166" i="12"/>
  <c r="W165" i="12"/>
  <c r="W164" i="12"/>
  <c r="W163" i="12"/>
  <c r="W162" i="12"/>
  <c r="W161" i="12"/>
  <c r="W160" i="12"/>
  <c r="W159" i="12"/>
  <c r="W158" i="12"/>
  <c r="W157" i="12"/>
  <c r="W156" i="12"/>
  <c r="W155" i="12"/>
  <c r="W154" i="12"/>
  <c r="W153" i="12"/>
  <c r="W152" i="12"/>
  <c r="W151" i="12"/>
  <c r="W150" i="12"/>
  <c r="W149" i="12"/>
  <c r="W148" i="12"/>
  <c r="W147" i="12"/>
  <c r="W146" i="12"/>
  <c r="W145" i="12"/>
  <c r="W144" i="12"/>
  <c r="W143" i="12"/>
  <c r="W142" i="12"/>
  <c r="W141" i="12"/>
  <c r="W140" i="12"/>
  <c r="W139" i="12"/>
  <c r="W138" i="12"/>
  <c r="W137" i="12"/>
  <c r="W136" i="12"/>
  <c r="W135" i="12"/>
  <c r="W134" i="12"/>
  <c r="W133" i="12"/>
  <c r="W132" i="12"/>
  <c r="W131" i="12"/>
  <c r="W130" i="12"/>
  <c r="W129" i="12"/>
  <c r="W128" i="12"/>
  <c r="W127" i="12"/>
  <c r="W126" i="12"/>
  <c r="W125" i="12"/>
  <c r="W124" i="12"/>
  <c r="W123" i="12"/>
  <c r="W122" i="12"/>
  <c r="W121" i="12"/>
  <c r="W120" i="12"/>
  <c r="W119" i="12"/>
  <c r="W118" i="12"/>
  <c r="W117" i="12"/>
  <c r="W116" i="12"/>
  <c r="W115" i="12"/>
  <c r="W114" i="12"/>
  <c r="W113" i="12"/>
  <c r="W112" i="12"/>
  <c r="W111" i="12"/>
  <c r="W110" i="12"/>
  <c r="W109" i="12"/>
  <c r="W108" i="12"/>
  <c r="W107" i="12"/>
  <c r="W106" i="12"/>
  <c r="W105" i="12"/>
  <c r="W104" i="12"/>
  <c r="W103" i="12"/>
  <c r="W102" i="12"/>
  <c r="W101" i="12"/>
  <c r="W100" i="12"/>
  <c r="W99" i="12"/>
  <c r="W98" i="12"/>
  <c r="W97" i="12"/>
  <c r="W96" i="12"/>
  <c r="W95" i="12"/>
  <c r="W94" i="12"/>
  <c r="W93" i="12"/>
  <c r="W92" i="12"/>
  <c r="W91" i="12"/>
  <c r="W90" i="12"/>
  <c r="W89" i="12"/>
  <c r="W88" i="12"/>
  <c r="W87" i="12"/>
  <c r="W86" i="12"/>
  <c r="W85" i="12"/>
  <c r="W84" i="12"/>
  <c r="W83" i="12"/>
  <c r="W82" i="12"/>
  <c r="W81" i="12"/>
  <c r="W80" i="12"/>
  <c r="W79" i="12"/>
  <c r="W78" i="12"/>
  <c r="W77" i="12"/>
  <c r="W76" i="12"/>
  <c r="W75" i="12"/>
  <c r="W74" i="12"/>
  <c r="W73" i="12"/>
  <c r="W72" i="12"/>
  <c r="W71" i="12"/>
  <c r="W70" i="12"/>
  <c r="W69" i="12"/>
  <c r="W68" i="12"/>
  <c r="W67" i="12"/>
  <c r="W66" i="12"/>
  <c r="W65" i="12"/>
  <c r="W64" i="12"/>
  <c r="W63" i="12"/>
  <c r="W62" i="12"/>
  <c r="W61" i="12"/>
  <c r="W60" i="12"/>
  <c r="W59" i="12"/>
  <c r="W58" i="12"/>
  <c r="W57" i="12"/>
  <c r="W56" i="12"/>
  <c r="W55" i="12"/>
  <c r="W54" i="12"/>
  <c r="W53" i="12"/>
  <c r="W52" i="12"/>
  <c r="W51" i="12"/>
  <c r="W50" i="12"/>
  <c r="W49" i="12"/>
  <c r="W48" i="12"/>
  <c r="W47" i="12"/>
  <c r="W46"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8" i="12"/>
  <c r="W17" i="12"/>
  <c r="W16" i="12"/>
  <c r="O514" i="12"/>
  <c r="P514" i="12" s="1"/>
  <c r="O513" i="12"/>
  <c r="P513" i="12" s="1"/>
  <c r="P512" i="12"/>
  <c r="O512" i="12"/>
  <c r="O511" i="12"/>
  <c r="P511" i="12" s="1"/>
  <c r="O510" i="12"/>
  <c r="P510" i="12" s="1"/>
  <c r="O509" i="12"/>
  <c r="P509" i="12" s="1"/>
  <c r="P508" i="12"/>
  <c r="O508" i="12"/>
  <c r="O507" i="12"/>
  <c r="P507" i="12" s="1"/>
  <c r="O506" i="12"/>
  <c r="P506" i="12" s="1"/>
  <c r="O505" i="12"/>
  <c r="P505" i="12" s="1"/>
  <c r="O504" i="12"/>
  <c r="P504" i="12" s="1"/>
  <c r="O503" i="12"/>
  <c r="P503" i="12" s="1"/>
  <c r="O502" i="12"/>
  <c r="P502" i="12" s="1"/>
  <c r="O501" i="12"/>
  <c r="P501" i="12" s="1"/>
  <c r="O500" i="12"/>
  <c r="P500" i="12" s="1"/>
  <c r="O499" i="12"/>
  <c r="P499" i="12" s="1"/>
  <c r="O498" i="12"/>
  <c r="P498" i="12" s="1"/>
  <c r="O497" i="12"/>
  <c r="P497" i="12" s="1"/>
  <c r="O496" i="12"/>
  <c r="P496" i="12" s="1"/>
  <c r="O495" i="12"/>
  <c r="P495" i="12" s="1"/>
  <c r="O494" i="12"/>
  <c r="P494" i="12" s="1"/>
  <c r="O493" i="12"/>
  <c r="P493" i="12" s="1"/>
  <c r="O492" i="12"/>
  <c r="P492" i="12" s="1"/>
  <c r="O491" i="12"/>
  <c r="P491" i="12" s="1"/>
  <c r="O490" i="12"/>
  <c r="P490" i="12" s="1"/>
  <c r="O489" i="12"/>
  <c r="P489" i="12" s="1"/>
  <c r="O488" i="12"/>
  <c r="P488" i="12" s="1"/>
  <c r="O487" i="12"/>
  <c r="P487" i="12" s="1"/>
  <c r="O486" i="12"/>
  <c r="P486" i="12" s="1"/>
  <c r="O485" i="12"/>
  <c r="P485" i="12" s="1"/>
  <c r="P484" i="12"/>
  <c r="O484" i="12"/>
  <c r="O483" i="12"/>
  <c r="P483" i="12" s="1"/>
  <c r="O482" i="12"/>
  <c r="P482" i="12" s="1"/>
  <c r="O481" i="12"/>
  <c r="P481" i="12" s="1"/>
  <c r="P480" i="12"/>
  <c r="O480" i="12"/>
  <c r="O479" i="12"/>
  <c r="P479" i="12" s="1"/>
  <c r="O478" i="12"/>
  <c r="P478" i="12" s="1"/>
  <c r="O477" i="12"/>
  <c r="P477" i="12" s="1"/>
  <c r="P476" i="12"/>
  <c r="O476" i="12"/>
  <c r="O475" i="12"/>
  <c r="P475" i="12" s="1"/>
  <c r="O474" i="12"/>
  <c r="P474" i="12" s="1"/>
  <c r="O473" i="12"/>
  <c r="P473" i="12" s="1"/>
  <c r="O472" i="12"/>
  <c r="P472" i="12" s="1"/>
  <c r="O471" i="12"/>
  <c r="P471" i="12" s="1"/>
  <c r="O470" i="12"/>
  <c r="P470" i="12" s="1"/>
  <c r="O469" i="12"/>
  <c r="P469" i="12" s="1"/>
  <c r="O468" i="12"/>
  <c r="P468" i="12" s="1"/>
  <c r="O467" i="12"/>
  <c r="P467" i="12" s="1"/>
  <c r="O466" i="12"/>
  <c r="P466" i="12" s="1"/>
  <c r="O465" i="12"/>
  <c r="P465" i="12" s="1"/>
  <c r="O464" i="12"/>
  <c r="P464" i="12" s="1"/>
  <c r="O463" i="12"/>
  <c r="P463" i="12" s="1"/>
  <c r="O462" i="12"/>
  <c r="P462" i="12" s="1"/>
  <c r="O461" i="12"/>
  <c r="P461" i="12" s="1"/>
  <c r="O460" i="12"/>
  <c r="P460" i="12" s="1"/>
  <c r="O459" i="12"/>
  <c r="P459" i="12" s="1"/>
  <c r="O458" i="12"/>
  <c r="P458" i="12" s="1"/>
  <c r="O457" i="12"/>
  <c r="P457" i="12" s="1"/>
  <c r="O456" i="12"/>
  <c r="P456" i="12" s="1"/>
  <c r="O455" i="12"/>
  <c r="P455" i="12" s="1"/>
  <c r="O454" i="12"/>
  <c r="P454" i="12" s="1"/>
  <c r="O453" i="12"/>
  <c r="P453" i="12" s="1"/>
  <c r="P452" i="12"/>
  <c r="O452" i="12"/>
  <c r="O451" i="12"/>
  <c r="P451" i="12" s="1"/>
  <c r="O450" i="12"/>
  <c r="P450" i="12" s="1"/>
  <c r="O449" i="12"/>
  <c r="P449" i="12" s="1"/>
  <c r="P448" i="12"/>
  <c r="O448" i="12"/>
  <c r="O447" i="12"/>
  <c r="P447" i="12" s="1"/>
  <c r="O446" i="12"/>
  <c r="P446" i="12" s="1"/>
  <c r="O445" i="12"/>
  <c r="P445" i="12" s="1"/>
  <c r="P444" i="12"/>
  <c r="O444" i="12"/>
  <c r="O443" i="12"/>
  <c r="P443" i="12" s="1"/>
  <c r="O442" i="12"/>
  <c r="P442" i="12" s="1"/>
  <c r="O441" i="12"/>
  <c r="P441" i="12" s="1"/>
  <c r="O440" i="12"/>
  <c r="P440" i="12" s="1"/>
  <c r="O439" i="12"/>
  <c r="P439" i="12" s="1"/>
  <c r="O438" i="12"/>
  <c r="P438" i="12" s="1"/>
  <c r="O437" i="12"/>
  <c r="P437" i="12" s="1"/>
  <c r="O436" i="12"/>
  <c r="P436" i="12" s="1"/>
  <c r="O435" i="12"/>
  <c r="P435" i="12" s="1"/>
  <c r="O434" i="12"/>
  <c r="P434" i="12" s="1"/>
  <c r="O433" i="12"/>
  <c r="P433" i="12" s="1"/>
  <c r="O432" i="12"/>
  <c r="P432" i="12" s="1"/>
  <c r="O431" i="12"/>
  <c r="P431" i="12" s="1"/>
  <c r="O430" i="12"/>
  <c r="P430" i="12" s="1"/>
  <c r="O429" i="12"/>
  <c r="P429" i="12" s="1"/>
  <c r="O428" i="12"/>
  <c r="P428" i="12" s="1"/>
  <c r="O427" i="12"/>
  <c r="P427" i="12" s="1"/>
  <c r="O426" i="12"/>
  <c r="P426" i="12" s="1"/>
  <c r="O425" i="12"/>
  <c r="P425" i="12" s="1"/>
  <c r="O424" i="12"/>
  <c r="P424" i="12" s="1"/>
  <c r="O423" i="12"/>
  <c r="P423" i="12" s="1"/>
  <c r="O422" i="12"/>
  <c r="P422" i="12" s="1"/>
  <c r="O421" i="12"/>
  <c r="P421" i="12" s="1"/>
  <c r="P420" i="12"/>
  <c r="O420" i="12"/>
  <c r="O419" i="12"/>
  <c r="P419" i="12" s="1"/>
  <c r="O418" i="12"/>
  <c r="P418" i="12" s="1"/>
  <c r="O417" i="12"/>
  <c r="P417" i="12" s="1"/>
  <c r="P416" i="12"/>
  <c r="O416" i="12"/>
  <c r="O415" i="12"/>
  <c r="P415" i="12" s="1"/>
  <c r="O414" i="12"/>
  <c r="P414" i="12" s="1"/>
  <c r="O413" i="12"/>
  <c r="P413" i="12" s="1"/>
  <c r="P412" i="12"/>
  <c r="O412" i="12"/>
  <c r="O411" i="12"/>
  <c r="P411" i="12" s="1"/>
  <c r="O410" i="12"/>
  <c r="P410" i="12" s="1"/>
  <c r="O409" i="12"/>
  <c r="P409" i="12" s="1"/>
  <c r="O408" i="12"/>
  <c r="P408" i="12" s="1"/>
  <c r="O407" i="12"/>
  <c r="P407" i="12" s="1"/>
  <c r="O406" i="12"/>
  <c r="P406" i="12" s="1"/>
  <c r="O405" i="12"/>
  <c r="P405" i="12" s="1"/>
  <c r="O404" i="12"/>
  <c r="P404" i="12" s="1"/>
  <c r="O403" i="12"/>
  <c r="P403" i="12" s="1"/>
  <c r="O402" i="12"/>
  <c r="P402" i="12" s="1"/>
  <c r="O401" i="12"/>
  <c r="P401" i="12" s="1"/>
  <c r="O400" i="12"/>
  <c r="P400" i="12" s="1"/>
  <c r="O399" i="12"/>
  <c r="P399" i="12" s="1"/>
  <c r="O398" i="12"/>
  <c r="P398" i="12" s="1"/>
  <c r="O397" i="12"/>
  <c r="P397" i="12" s="1"/>
  <c r="O396" i="12"/>
  <c r="P396" i="12" s="1"/>
  <c r="O395" i="12"/>
  <c r="P395" i="12" s="1"/>
  <c r="O394" i="12"/>
  <c r="P394" i="12" s="1"/>
  <c r="O393" i="12"/>
  <c r="P393" i="12" s="1"/>
  <c r="O392" i="12"/>
  <c r="P392" i="12" s="1"/>
  <c r="O391" i="12"/>
  <c r="P391" i="12" s="1"/>
  <c r="O390" i="12"/>
  <c r="P390" i="12" s="1"/>
  <c r="O389" i="12"/>
  <c r="P389" i="12" s="1"/>
  <c r="P388" i="12"/>
  <c r="O388" i="12"/>
  <c r="O387" i="12"/>
  <c r="P387" i="12" s="1"/>
  <c r="O386" i="12"/>
  <c r="P386" i="12" s="1"/>
  <c r="O385" i="12"/>
  <c r="P385" i="12" s="1"/>
  <c r="P384" i="12"/>
  <c r="O384" i="12"/>
  <c r="O383" i="12"/>
  <c r="P383" i="12" s="1"/>
  <c r="O382" i="12"/>
  <c r="P382" i="12" s="1"/>
  <c r="O381" i="12"/>
  <c r="P381" i="12" s="1"/>
  <c r="P380" i="12"/>
  <c r="O380" i="12"/>
  <c r="O379" i="12"/>
  <c r="P379" i="12" s="1"/>
  <c r="O378" i="12"/>
  <c r="P378" i="12" s="1"/>
  <c r="O377" i="12"/>
  <c r="P377" i="12" s="1"/>
  <c r="O376" i="12"/>
  <c r="P376" i="12" s="1"/>
  <c r="O375" i="12"/>
  <c r="P375" i="12" s="1"/>
  <c r="O374" i="12"/>
  <c r="P374" i="12" s="1"/>
  <c r="O373" i="12"/>
  <c r="P373" i="12" s="1"/>
  <c r="O372" i="12"/>
  <c r="P372" i="12" s="1"/>
  <c r="O371" i="12"/>
  <c r="P371" i="12" s="1"/>
  <c r="O370" i="12"/>
  <c r="P370" i="12" s="1"/>
  <c r="O369" i="12"/>
  <c r="P369" i="12" s="1"/>
  <c r="O368" i="12"/>
  <c r="P368" i="12" s="1"/>
  <c r="O367" i="12"/>
  <c r="P367" i="12" s="1"/>
  <c r="O366" i="12"/>
  <c r="P366" i="12" s="1"/>
  <c r="O365" i="12"/>
  <c r="P365" i="12" s="1"/>
  <c r="O364" i="12"/>
  <c r="P364" i="12" s="1"/>
  <c r="O363" i="12"/>
  <c r="P363" i="12" s="1"/>
  <c r="O362" i="12"/>
  <c r="P362" i="12" s="1"/>
  <c r="O361" i="12"/>
  <c r="P361" i="12" s="1"/>
  <c r="O360" i="12"/>
  <c r="P360" i="12" s="1"/>
  <c r="O359" i="12"/>
  <c r="P359" i="12" s="1"/>
  <c r="O358" i="12"/>
  <c r="P358" i="12" s="1"/>
  <c r="O357" i="12"/>
  <c r="P357" i="12" s="1"/>
  <c r="P356" i="12"/>
  <c r="O356" i="12"/>
  <c r="O355" i="12"/>
  <c r="P355" i="12" s="1"/>
  <c r="O354" i="12"/>
  <c r="P354" i="12" s="1"/>
  <c r="O353" i="12"/>
  <c r="P353" i="12" s="1"/>
  <c r="P352" i="12"/>
  <c r="O352" i="12"/>
  <c r="O351" i="12"/>
  <c r="P351" i="12" s="1"/>
  <c r="O350" i="12"/>
  <c r="P350" i="12" s="1"/>
  <c r="O349" i="12"/>
  <c r="P349" i="12" s="1"/>
  <c r="P348" i="12"/>
  <c r="O348" i="12"/>
  <c r="O347" i="12"/>
  <c r="P347" i="12" s="1"/>
  <c r="O346" i="12"/>
  <c r="P346" i="12" s="1"/>
  <c r="O345" i="12"/>
  <c r="P345" i="12" s="1"/>
  <c r="O344" i="12"/>
  <c r="P344" i="12" s="1"/>
  <c r="O343" i="12"/>
  <c r="P343" i="12" s="1"/>
  <c r="O342" i="12"/>
  <c r="P342" i="12" s="1"/>
  <c r="O341" i="12"/>
  <c r="P341" i="12" s="1"/>
  <c r="O340" i="12"/>
  <c r="P340" i="12" s="1"/>
  <c r="O339" i="12"/>
  <c r="P339" i="12" s="1"/>
  <c r="O338" i="12"/>
  <c r="P338" i="12" s="1"/>
  <c r="O337" i="12"/>
  <c r="P337" i="12" s="1"/>
  <c r="O336" i="12"/>
  <c r="P336" i="12" s="1"/>
  <c r="O335" i="12"/>
  <c r="P335" i="12" s="1"/>
  <c r="O334" i="12"/>
  <c r="P334" i="12" s="1"/>
  <c r="O333" i="12"/>
  <c r="P333" i="12" s="1"/>
  <c r="O332" i="12"/>
  <c r="P332" i="12" s="1"/>
  <c r="O331" i="12"/>
  <c r="P331" i="12" s="1"/>
  <c r="O330" i="12"/>
  <c r="P330" i="12" s="1"/>
  <c r="O329" i="12"/>
  <c r="P329" i="12" s="1"/>
  <c r="O328" i="12"/>
  <c r="P328" i="12" s="1"/>
  <c r="O327" i="12"/>
  <c r="P327" i="12" s="1"/>
  <c r="O326" i="12"/>
  <c r="P326" i="12" s="1"/>
  <c r="O325" i="12"/>
  <c r="P325" i="12" s="1"/>
  <c r="P324" i="12"/>
  <c r="O324" i="12"/>
  <c r="O323" i="12"/>
  <c r="P323" i="12" s="1"/>
  <c r="O322" i="12"/>
  <c r="P322" i="12" s="1"/>
  <c r="O321" i="12"/>
  <c r="P321" i="12" s="1"/>
  <c r="P320" i="12"/>
  <c r="O320" i="12"/>
  <c r="O319" i="12"/>
  <c r="P319" i="12" s="1"/>
  <c r="O318" i="12"/>
  <c r="P318" i="12" s="1"/>
  <c r="O317" i="12"/>
  <c r="P317" i="12" s="1"/>
  <c r="P316" i="12"/>
  <c r="O316" i="12"/>
  <c r="O315" i="12"/>
  <c r="P315" i="12" s="1"/>
  <c r="O314" i="12"/>
  <c r="P314" i="12" s="1"/>
  <c r="O313" i="12"/>
  <c r="P313" i="12" s="1"/>
  <c r="O312" i="12"/>
  <c r="P312" i="12" s="1"/>
  <c r="O311" i="12"/>
  <c r="P311" i="12" s="1"/>
  <c r="O310" i="12"/>
  <c r="P310" i="12" s="1"/>
  <c r="O309" i="12"/>
  <c r="P309" i="12" s="1"/>
  <c r="O308" i="12"/>
  <c r="P308" i="12" s="1"/>
  <c r="O307" i="12"/>
  <c r="P307" i="12" s="1"/>
  <c r="O306" i="12"/>
  <c r="P306" i="12" s="1"/>
  <c r="O305" i="12"/>
  <c r="P305" i="12" s="1"/>
  <c r="O304" i="12"/>
  <c r="P304" i="12" s="1"/>
  <c r="O303" i="12"/>
  <c r="P303" i="12" s="1"/>
  <c r="O302" i="12"/>
  <c r="P302" i="12" s="1"/>
  <c r="O301" i="12"/>
  <c r="P301" i="12" s="1"/>
  <c r="O300" i="12"/>
  <c r="P300" i="12" s="1"/>
  <c r="O299" i="12"/>
  <c r="P299" i="12" s="1"/>
  <c r="O298" i="12"/>
  <c r="P298" i="12" s="1"/>
  <c r="O297" i="12"/>
  <c r="P297" i="12" s="1"/>
  <c r="O296" i="12"/>
  <c r="P296" i="12" s="1"/>
  <c r="O295" i="12"/>
  <c r="P295" i="12" s="1"/>
  <c r="O294" i="12"/>
  <c r="P294" i="12" s="1"/>
  <c r="O293" i="12"/>
  <c r="P293" i="12" s="1"/>
  <c r="P292" i="12"/>
  <c r="O292" i="12"/>
  <c r="O291" i="12"/>
  <c r="P291" i="12" s="1"/>
  <c r="O290" i="12"/>
  <c r="P290" i="12" s="1"/>
  <c r="O289" i="12"/>
  <c r="P289" i="12" s="1"/>
  <c r="P288" i="12"/>
  <c r="O288" i="12"/>
  <c r="O287" i="12"/>
  <c r="P287" i="12" s="1"/>
  <c r="O286" i="12"/>
  <c r="P286" i="12" s="1"/>
  <c r="O285" i="12"/>
  <c r="P285" i="12" s="1"/>
  <c r="P284" i="12"/>
  <c r="O284" i="12"/>
  <c r="O283" i="12"/>
  <c r="P283" i="12" s="1"/>
  <c r="O282" i="12"/>
  <c r="P282" i="12" s="1"/>
  <c r="O281" i="12"/>
  <c r="P281" i="12" s="1"/>
  <c r="O280" i="12"/>
  <c r="P280" i="12" s="1"/>
  <c r="O279" i="12"/>
  <c r="P279" i="12" s="1"/>
  <c r="O278" i="12"/>
  <c r="P278" i="12" s="1"/>
  <c r="O277" i="12"/>
  <c r="P277" i="12" s="1"/>
  <c r="P276" i="12"/>
  <c r="O276" i="12"/>
  <c r="O275" i="12"/>
  <c r="P275" i="12" s="1"/>
  <c r="O274" i="12"/>
  <c r="P274" i="12" s="1"/>
  <c r="O273" i="12"/>
  <c r="P273" i="12" s="1"/>
  <c r="O272" i="12"/>
  <c r="P272" i="12" s="1"/>
  <c r="O271" i="12"/>
  <c r="P271" i="12" s="1"/>
  <c r="O270" i="12"/>
  <c r="P270" i="12" s="1"/>
  <c r="O269" i="12"/>
  <c r="P269" i="12" s="1"/>
  <c r="O268" i="12"/>
  <c r="P268" i="12" s="1"/>
  <c r="O267" i="12"/>
  <c r="P267" i="12" s="1"/>
  <c r="O266" i="12"/>
  <c r="P266" i="12" s="1"/>
  <c r="P265" i="12"/>
  <c r="O265" i="12"/>
  <c r="O264" i="12"/>
  <c r="P264" i="12" s="1"/>
  <c r="O263" i="12"/>
  <c r="P263" i="12" s="1"/>
  <c r="O262" i="12"/>
  <c r="P262" i="12" s="1"/>
  <c r="O261" i="12"/>
  <c r="P261" i="12" s="1"/>
  <c r="P260" i="12"/>
  <c r="O260" i="12"/>
  <c r="O259" i="12"/>
  <c r="P259" i="12" s="1"/>
  <c r="O258" i="12"/>
  <c r="P258" i="12" s="1"/>
  <c r="O257" i="12"/>
  <c r="P257" i="12" s="1"/>
  <c r="O256" i="12"/>
  <c r="P256" i="12" s="1"/>
  <c r="O255" i="12"/>
  <c r="P255" i="12" s="1"/>
  <c r="O254" i="12"/>
  <c r="P254" i="12" s="1"/>
  <c r="O253" i="12"/>
  <c r="P253" i="12" s="1"/>
  <c r="O252" i="12"/>
  <c r="P252" i="12" s="1"/>
  <c r="O251" i="12"/>
  <c r="P251" i="12" s="1"/>
  <c r="O250" i="12"/>
  <c r="P250" i="12" s="1"/>
  <c r="P249" i="12"/>
  <c r="O249" i="12"/>
  <c r="O248" i="12"/>
  <c r="P248" i="12" s="1"/>
  <c r="O247" i="12"/>
  <c r="P247" i="12" s="1"/>
  <c r="O246" i="12"/>
  <c r="P246" i="12" s="1"/>
  <c r="O245" i="12"/>
  <c r="P245" i="12" s="1"/>
  <c r="P244" i="12"/>
  <c r="O244" i="12"/>
  <c r="O243" i="12"/>
  <c r="P243" i="12" s="1"/>
  <c r="O242" i="12"/>
  <c r="P242" i="12" s="1"/>
  <c r="O241" i="12"/>
  <c r="P241" i="12" s="1"/>
  <c r="O240" i="12"/>
  <c r="P240" i="12" s="1"/>
  <c r="O239" i="12"/>
  <c r="P239" i="12" s="1"/>
  <c r="O238" i="12"/>
  <c r="P238" i="12" s="1"/>
  <c r="O237" i="12"/>
  <c r="P237" i="12" s="1"/>
  <c r="O236" i="12"/>
  <c r="P236" i="12" s="1"/>
  <c r="O235" i="12"/>
  <c r="P235" i="12" s="1"/>
  <c r="O234" i="12"/>
  <c r="P234" i="12" s="1"/>
  <c r="P233" i="12"/>
  <c r="O233" i="12"/>
  <c r="O232" i="12"/>
  <c r="P232" i="12" s="1"/>
  <c r="O231" i="12"/>
  <c r="P231" i="12" s="1"/>
  <c r="O230" i="12"/>
  <c r="P230" i="12" s="1"/>
  <c r="O229" i="12"/>
  <c r="P229" i="12" s="1"/>
  <c r="P228" i="12"/>
  <c r="O228" i="12"/>
  <c r="O227" i="12"/>
  <c r="P227" i="12" s="1"/>
  <c r="O226" i="12"/>
  <c r="P226" i="12" s="1"/>
  <c r="O225" i="12"/>
  <c r="P225" i="12" s="1"/>
  <c r="O224" i="12"/>
  <c r="P224" i="12" s="1"/>
  <c r="O223" i="12"/>
  <c r="P223" i="12" s="1"/>
  <c r="O222" i="12"/>
  <c r="P222" i="12" s="1"/>
  <c r="O221" i="12"/>
  <c r="P221" i="12" s="1"/>
  <c r="O220" i="12"/>
  <c r="P220" i="12" s="1"/>
  <c r="O219" i="12"/>
  <c r="P219" i="12" s="1"/>
  <c r="O218" i="12"/>
  <c r="P218" i="12" s="1"/>
  <c r="P217" i="12"/>
  <c r="O217" i="12"/>
  <c r="O216" i="12"/>
  <c r="P216" i="12" s="1"/>
  <c r="O215" i="12"/>
  <c r="P215" i="12" s="1"/>
  <c r="O214" i="12"/>
  <c r="P214" i="12" s="1"/>
  <c r="O213" i="12"/>
  <c r="P213" i="12" s="1"/>
  <c r="P212" i="12"/>
  <c r="O212" i="12"/>
  <c r="O211" i="12"/>
  <c r="P211" i="12" s="1"/>
  <c r="O210" i="12"/>
  <c r="P210" i="12" s="1"/>
  <c r="O209" i="12"/>
  <c r="P209" i="12" s="1"/>
  <c r="O208" i="12"/>
  <c r="P208" i="12" s="1"/>
  <c r="O207" i="12"/>
  <c r="P207" i="12" s="1"/>
  <c r="O206" i="12"/>
  <c r="P206" i="12" s="1"/>
  <c r="O205" i="12"/>
  <c r="P205" i="12" s="1"/>
  <c r="O204" i="12"/>
  <c r="P204" i="12" s="1"/>
  <c r="O203" i="12"/>
  <c r="P203" i="12" s="1"/>
  <c r="O202" i="12"/>
  <c r="P202" i="12" s="1"/>
  <c r="P201" i="12"/>
  <c r="O201" i="12"/>
  <c r="O200" i="12"/>
  <c r="P200" i="12" s="1"/>
  <c r="O199" i="12"/>
  <c r="P199" i="12" s="1"/>
  <c r="O198" i="12"/>
  <c r="P198" i="12" s="1"/>
  <c r="O197" i="12"/>
  <c r="P197" i="12" s="1"/>
  <c r="P196" i="12"/>
  <c r="O196" i="12"/>
  <c r="O195" i="12"/>
  <c r="P195" i="12" s="1"/>
  <c r="O194" i="12"/>
  <c r="P194" i="12" s="1"/>
  <c r="O193" i="12"/>
  <c r="P193" i="12" s="1"/>
  <c r="O192" i="12"/>
  <c r="P192" i="12" s="1"/>
  <c r="O191" i="12"/>
  <c r="P191" i="12" s="1"/>
  <c r="O190" i="12"/>
  <c r="P190" i="12" s="1"/>
  <c r="O189" i="12"/>
  <c r="P189" i="12" s="1"/>
  <c r="O188" i="12"/>
  <c r="P188" i="12" s="1"/>
  <c r="O187" i="12"/>
  <c r="P187" i="12" s="1"/>
  <c r="O186" i="12"/>
  <c r="P186" i="12" s="1"/>
  <c r="P185" i="12"/>
  <c r="O185" i="12"/>
  <c r="O184" i="12"/>
  <c r="P184" i="12" s="1"/>
  <c r="O183" i="12"/>
  <c r="P183" i="12" s="1"/>
  <c r="O182" i="12"/>
  <c r="P182" i="12" s="1"/>
  <c r="O181" i="12"/>
  <c r="P181" i="12" s="1"/>
  <c r="P180" i="12"/>
  <c r="O180" i="12"/>
  <c r="O179" i="12"/>
  <c r="P179" i="12" s="1"/>
  <c r="O178" i="12"/>
  <c r="P178" i="12" s="1"/>
  <c r="O177" i="12"/>
  <c r="P177" i="12" s="1"/>
  <c r="O176" i="12"/>
  <c r="P176" i="12" s="1"/>
  <c r="P175" i="12"/>
  <c r="O175" i="12"/>
  <c r="O174" i="12"/>
  <c r="P174" i="12" s="1"/>
  <c r="O173" i="12"/>
  <c r="P173" i="12" s="1"/>
  <c r="O172" i="12"/>
  <c r="P172" i="12" s="1"/>
  <c r="P171" i="12"/>
  <c r="O171" i="12"/>
  <c r="O170" i="12"/>
  <c r="P170" i="12" s="1"/>
  <c r="O169" i="12"/>
  <c r="P169" i="12" s="1"/>
  <c r="O168" i="12"/>
  <c r="P168" i="12" s="1"/>
  <c r="P167" i="12"/>
  <c r="O167" i="12"/>
  <c r="O166" i="12"/>
  <c r="P166" i="12" s="1"/>
  <c r="O165" i="12"/>
  <c r="P165" i="12" s="1"/>
  <c r="O164" i="12"/>
  <c r="P164" i="12" s="1"/>
  <c r="P163" i="12"/>
  <c r="O163" i="12"/>
  <c r="O162" i="12"/>
  <c r="P162" i="12" s="1"/>
  <c r="O161" i="12"/>
  <c r="P161" i="12" s="1"/>
  <c r="O160" i="12"/>
  <c r="P160" i="12" s="1"/>
  <c r="P159" i="12"/>
  <c r="O159" i="12"/>
  <c r="O158" i="12"/>
  <c r="P158" i="12" s="1"/>
  <c r="O157" i="12"/>
  <c r="P157" i="12" s="1"/>
  <c r="O156" i="12"/>
  <c r="P156" i="12" s="1"/>
  <c r="P155" i="12"/>
  <c r="O155" i="12"/>
  <c r="O154" i="12"/>
  <c r="P154" i="12" s="1"/>
  <c r="O153" i="12"/>
  <c r="P153" i="12" s="1"/>
  <c r="O152" i="12"/>
  <c r="P152" i="12" s="1"/>
  <c r="P151" i="12"/>
  <c r="O151" i="12"/>
  <c r="O150" i="12"/>
  <c r="P150" i="12" s="1"/>
  <c r="O149" i="12"/>
  <c r="P149" i="12" s="1"/>
  <c r="O148" i="12"/>
  <c r="P148" i="12" s="1"/>
  <c r="P147" i="12"/>
  <c r="O147" i="12"/>
  <c r="O146" i="12"/>
  <c r="P146" i="12" s="1"/>
  <c r="O145" i="12"/>
  <c r="P145" i="12" s="1"/>
  <c r="O144" i="12"/>
  <c r="P144" i="12" s="1"/>
  <c r="P143" i="12"/>
  <c r="O143" i="12"/>
  <c r="O142" i="12"/>
  <c r="P142" i="12" s="1"/>
  <c r="O141" i="12"/>
  <c r="P141" i="12" s="1"/>
  <c r="O140" i="12"/>
  <c r="P140" i="12" s="1"/>
  <c r="P139" i="12"/>
  <c r="O139" i="12"/>
  <c r="O138" i="12"/>
  <c r="P138" i="12" s="1"/>
  <c r="O137" i="12"/>
  <c r="P137" i="12" s="1"/>
  <c r="O136" i="12"/>
  <c r="P136" i="12" s="1"/>
  <c r="P135" i="12"/>
  <c r="O135" i="12"/>
  <c r="O134" i="12"/>
  <c r="P134" i="12" s="1"/>
  <c r="O133" i="12"/>
  <c r="P133" i="12" s="1"/>
  <c r="O132" i="12"/>
  <c r="P132" i="12" s="1"/>
  <c r="P131" i="12"/>
  <c r="O131" i="12"/>
  <c r="O130" i="12"/>
  <c r="P130" i="12" s="1"/>
  <c r="O129" i="12"/>
  <c r="P129" i="12" s="1"/>
  <c r="O128" i="12"/>
  <c r="P128" i="12" s="1"/>
  <c r="P127" i="12"/>
  <c r="O127" i="12"/>
  <c r="O126" i="12"/>
  <c r="P126" i="12" s="1"/>
  <c r="O125" i="12"/>
  <c r="P125" i="12" s="1"/>
  <c r="O124" i="12"/>
  <c r="P124" i="12" s="1"/>
  <c r="P123" i="12"/>
  <c r="O123" i="12"/>
  <c r="O122" i="12"/>
  <c r="P122" i="12" s="1"/>
  <c r="O121" i="12"/>
  <c r="P121" i="12" s="1"/>
  <c r="O120" i="12"/>
  <c r="P120" i="12" s="1"/>
  <c r="P119" i="12"/>
  <c r="O119" i="12"/>
  <c r="O118" i="12"/>
  <c r="P118" i="12" s="1"/>
  <c r="O117" i="12"/>
  <c r="P117" i="12" s="1"/>
  <c r="O116" i="12"/>
  <c r="P116" i="12" s="1"/>
  <c r="P115" i="12"/>
  <c r="O115" i="12"/>
  <c r="O114" i="12"/>
  <c r="P114" i="12" s="1"/>
  <c r="O113" i="12"/>
  <c r="P113" i="12" s="1"/>
  <c r="O112" i="12"/>
  <c r="P112" i="12" s="1"/>
  <c r="P111" i="12"/>
  <c r="O111" i="12"/>
  <c r="O110" i="12"/>
  <c r="P110" i="12" s="1"/>
  <c r="O109" i="12"/>
  <c r="P109" i="12" s="1"/>
  <c r="O108" i="12"/>
  <c r="P108" i="12" s="1"/>
  <c r="P107" i="12"/>
  <c r="O107" i="12"/>
  <c r="O106" i="12"/>
  <c r="P106" i="12" s="1"/>
  <c r="O105" i="12"/>
  <c r="P105" i="12" s="1"/>
  <c r="O104" i="12"/>
  <c r="P104" i="12" s="1"/>
  <c r="P103" i="12"/>
  <c r="O103" i="12"/>
  <c r="O102" i="12"/>
  <c r="P102" i="12" s="1"/>
  <c r="O101" i="12"/>
  <c r="P101" i="12" s="1"/>
  <c r="O100" i="12"/>
  <c r="P100" i="12" s="1"/>
  <c r="P99" i="12"/>
  <c r="O99" i="12"/>
  <c r="O98" i="12"/>
  <c r="P98" i="12" s="1"/>
  <c r="O97" i="12"/>
  <c r="P97" i="12" s="1"/>
  <c r="O96" i="12"/>
  <c r="P96" i="12" s="1"/>
  <c r="P95" i="12"/>
  <c r="O95" i="12"/>
  <c r="O94" i="12"/>
  <c r="P94" i="12" s="1"/>
  <c r="O93" i="12"/>
  <c r="P93" i="12" s="1"/>
  <c r="O92" i="12"/>
  <c r="P92" i="12" s="1"/>
  <c r="P91" i="12"/>
  <c r="O91" i="12"/>
  <c r="O90" i="12"/>
  <c r="P90" i="12" s="1"/>
  <c r="O89" i="12"/>
  <c r="P89" i="12" s="1"/>
  <c r="O88" i="12"/>
  <c r="P88" i="12" s="1"/>
  <c r="P87" i="12"/>
  <c r="O87" i="12"/>
  <c r="O86" i="12"/>
  <c r="P86" i="12" s="1"/>
  <c r="O85" i="12"/>
  <c r="P85" i="12" s="1"/>
  <c r="O84" i="12"/>
  <c r="P84" i="12" s="1"/>
  <c r="P83" i="12"/>
  <c r="O83" i="12"/>
  <c r="O82" i="12"/>
  <c r="P82" i="12" s="1"/>
  <c r="O81" i="12"/>
  <c r="P81" i="12" s="1"/>
  <c r="O80" i="12"/>
  <c r="P80" i="12" s="1"/>
  <c r="P79" i="12"/>
  <c r="O79" i="12"/>
  <c r="O78" i="12"/>
  <c r="P78" i="12" s="1"/>
  <c r="O77" i="12"/>
  <c r="P77" i="12" s="1"/>
  <c r="O76" i="12"/>
  <c r="P76" i="12" s="1"/>
  <c r="P75" i="12"/>
  <c r="O75" i="12"/>
  <c r="O74" i="12"/>
  <c r="P74" i="12" s="1"/>
  <c r="O73" i="12"/>
  <c r="P73" i="12" s="1"/>
  <c r="O72" i="12"/>
  <c r="P72" i="12" s="1"/>
  <c r="P71" i="12"/>
  <c r="O71" i="12"/>
  <c r="O70" i="12"/>
  <c r="P70" i="12" s="1"/>
  <c r="O69" i="12"/>
  <c r="P69" i="12" s="1"/>
  <c r="O68" i="12"/>
  <c r="P68" i="12" s="1"/>
  <c r="P67" i="12"/>
  <c r="O67" i="12"/>
  <c r="O66" i="12"/>
  <c r="P66" i="12" s="1"/>
  <c r="O65" i="12"/>
  <c r="P65" i="12" s="1"/>
  <c r="O64" i="12"/>
  <c r="P64" i="12" s="1"/>
  <c r="P63" i="12"/>
  <c r="O63" i="12"/>
  <c r="O62" i="12"/>
  <c r="P62" i="12" s="1"/>
  <c r="O61" i="12"/>
  <c r="P61" i="12" s="1"/>
  <c r="O60" i="12"/>
  <c r="P60" i="12" s="1"/>
  <c r="P59" i="12"/>
  <c r="O59" i="12"/>
  <c r="O58" i="12"/>
  <c r="P58" i="12" s="1"/>
  <c r="O57" i="12"/>
  <c r="P57" i="12" s="1"/>
  <c r="O56" i="12"/>
  <c r="P56" i="12" s="1"/>
  <c r="P55" i="12"/>
  <c r="O55" i="12"/>
  <c r="O54" i="12"/>
  <c r="P54" i="12" s="1"/>
  <c r="O53" i="12"/>
  <c r="P53" i="12" s="1"/>
  <c r="O52" i="12"/>
  <c r="P52" i="12" s="1"/>
  <c r="P51" i="12"/>
  <c r="O51" i="12"/>
  <c r="O50" i="12"/>
  <c r="P50" i="12" s="1"/>
  <c r="O49" i="12"/>
  <c r="P49" i="12" s="1"/>
  <c r="O48" i="12"/>
  <c r="P48" i="12" s="1"/>
  <c r="P47" i="12"/>
  <c r="O47" i="12"/>
  <c r="O46" i="12"/>
  <c r="P46" i="12" s="1"/>
  <c r="O45" i="12"/>
  <c r="P45" i="12" s="1"/>
  <c r="O44" i="12"/>
  <c r="P44" i="12" s="1"/>
  <c r="P43" i="12"/>
  <c r="O43" i="12"/>
  <c r="O42" i="12"/>
  <c r="P42" i="12" s="1"/>
  <c r="O41" i="12"/>
  <c r="P41" i="12" s="1"/>
  <c r="O40" i="12"/>
  <c r="P40" i="12" s="1"/>
  <c r="P39" i="12"/>
  <c r="O39" i="12"/>
  <c r="O38" i="12"/>
  <c r="P38" i="12" s="1"/>
  <c r="O37" i="12"/>
  <c r="P37" i="12" s="1"/>
  <c r="O36" i="12"/>
  <c r="P36" i="12" s="1"/>
  <c r="P35" i="12"/>
  <c r="O35" i="12"/>
  <c r="O34" i="12"/>
  <c r="P34" i="12" s="1"/>
  <c r="O33" i="12"/>
  <c r="P33" i="12" s="1"/>
  <c r="O32" i="12"/>
  <c r="P32" i="12" s="1"/>
  <c r="P31" i="12"/>
  <c r="O31" i="12"/>
  <c r="O30" i="12"/>
  <c r="P30" i="12" s="1"/>
  <c r="O29" i="12"/>
  <c r="P29" i="12" s="1"/>
  <c r="O28" i="12"/>
  <c r="P28" i="12" s="1"/>
  <c r="P27" i="12"/>
  <c r="O27" i="12"/>
  <c r="O26" i="12"/>
  <c r="P26" i="12" s="1"/>
  <c r="O25" i="12"/>
  <c r="P25" i="12" s="1"/>
  <c r="O24" i="12"/>
  <c r="P24" i="12" s="1"/>
  <c r="P23" i="12"/>
  <c r="O23" i="12"/>
  <c r="O22" i="12"/>
  <c r="P22" i="12" s="1"/>
  <c r="O21" i="12"/>
  <c r="P21" i="12" s="1"/>
  <c r="O20" i="12"/>
  <c r="P20" i="12" s="1"/>
  <c r="P19" i="12"/>
  <c r="O19" i="12"/>
  <c r="O18" i="12"/>
  <c r="P18" i="12" s="1"/>
  <c r="O17" i="12"/>
  <c r="P17" i="12" s="1"/>
  <c r="O16" i="12"/>
  <c r="P16" i="12" s="1"/>
  <c r="W514" i="11"/>
  <c r="W513" i="11"/>
  <c r="W512" i="11"/>
  <c r="W511" i="11"/>
  <c r="W510" i="11"/>
  <c r="W509" i="11"/>
  <c r="W508" i="11"/>
  <c r="W507" i="11"/>
  <c r="W506" i="11"/>
  <c r="W505" i="11"/>
  <c r="W504" i="11"/>
  <c r="W503" i="11"/>
  <c r="W502" i="11"/>
  <c r="W501" i="11"/>
  <c r="W500" i="11"/>
  <c r="W499" i="11"/>
  <c r="W498" i="11"/>
  <c r="W497" i="11"/>
  <c r="W496" i="11"/>
  <c r="W495" i="11"/>
  <c r="W494" i="11"/>
  <c r="W493" i="11"/>
  <c r="W492" i="11"/>
  <c r="W491" i="11"/>
  <c r="W490" i="11"/>
  <c r="W489" i="11"/>
  <c r="W488" i="11"/>
  <c r="W487" i="11"/>
  <c r="W486" i="11"/>
  <c r="W485" i="11"/>
  <c r="W484" i="11"/>
  <c r="W483" i="11"/>
  <c r="W482" i="11"/>
  <c r="W481" i="11"/>
  <c r="W480" i="11"/>
  <c r="W479" i="11"/>
  <c r="W478" i="11"/>
  <c r="W477" i="11"/>
  <c r="W476" i="11"/>
  <c r="W475" i="11"/>
  <c r="W474" i="11"/>
  <c r="W473" i="11"/>
  <c r="W472" i="11"/>
  <c r="W471" i="11"/>
  <c r="W470" i="11"/>
  <c r="W469" i="11"/>
  <c r="W468" i="11"/>
  <c r="W467" i="11"/>
  <c r="W466" i="11"/>
  <c r="W465" i="11"/>
  <c r="W464" i="11"/>
  <c r="W463" i="11"/>
  <c r="W462" i="11"/>
  <c r="W461" i="11"/>
  <c r="W460" i="11"/>
  <c r="W459" i="11"/>
  <c r="W458" i="11"/>
  <c r="W457" i="11"/>
  <c r="W456" i="11"/>
  <c r="W455" i="11"/>
  <c r="W454" i="11"/>
  <c r="W453" i="11"/>
  <c r="W452" i="11"/>
  <c r="W451" i="11"/>
  <c r="W450" i="11"/>
  <c r="W449" i="11"/>
  <c r="W448" i="11"/>
  <c r="W447" i="11"/>
  <c r="W446" i="11"/>
  <c r="W445" i="11"/>
  <c r="W444" i="11"/>
  <c r="W443" i="11"/>
  <c r="W442" i="11"/>
  <c r="W441" i="11"/>
  <c r="W440" i="11"/>
  <c r="W439" i="11"/>
  <c r="W438" i="11"/>
  <c r="W437" i="11"/>
  <c r="W436" i="11"/>
  <c r="W435" i="11"/>
  <c r="W434" i="11"/>
  <c r="W433" i="11"/>
  <c r="W432" i="11"/>
  <c r="W431" i="11"/>
  <c r="W430" i="11"/>
  <c r="W429" i="11"/>
  <c r="W428" i="11"/>
  <c r="W427" i="11"/>
  <c r="W426" i="11"/>
  <c r="W425" i="11"/>
  <c r="W424" i="11"/>
  <c r="W423" i="11"/>
  <c r="W422" i="11"/>
  <c r="W421" i="11"/>
  <c r="W420" i="11"/>
  <c r="W419" i="11"/>
  <c r="W418" i="11"/>
  <c r="W417" i="11"/>
  <c r="W416" i="11"/>
  <c r="W415" i="11"/>
  <c r="W414" i="11"/>
  <c r="W413" i="11"/>
  <c r="W412" i="11"/>
  <c r="W411" i="11"/>
  <c r="W410" i="11"/>
  <c r="W409" i="11"/>
  <c r="W408" i="11"/>
  <c r="W407" i="11"/>
  <c r="W406" i="11"/>
  <c r="W405" i="11"/>
  <c r="W404" i="11"/>
  <c r="W403" i="11"/>
  <c r="W402" i="11"/>
  <c r="W401" i="11"/>
  <c r="W400" i="11"/>
  <c r="W399" i="11"/>
  <c r="W398" i="11"/>
  <c r="W397" i="11"/>
  <c r="W396" i="11"/>
  <c r="W395" i="11"/>
  <c r="W394" i="11"/>
  <c r="W393" i="11"/>
  <c r="W392" i="11"/>
  <c r="W391" i="11"/>
  <c r="W390" i="11"/>
  <c r="W389" i="11"/>
  <c r="W388" i="11"/>
  <c r="W387" i="11"/>
  <c r="W386" i="11"/>
  <c r="W385" i="11"/>
  <c r="W384" i="11"/>
  <c r="W383" i="11"/>
  <c r="W382" i="11"/>
  <c r="W381" i="11"/>
  <c r="W380" i="11"/>
  <c r="W379" i="11"/>
  <c r="W378" i="11"/>
  <c r="W377" i="11"/>
  <c r="W376" i="11"/>
  <c r="W375" i="11"/>
  <c r="W374" i="11"/>
  <c r="W373" i="11"/>
  <c r="W372" i="11"/>
  <c r="W371" i="11"/>
  <c r="W370" i="11"/>
  <c r="W369" i="11"/>
  <c r="W368" i="11"/>
  <c r="W367" i="11"/>
  <c r="W366" i="11"/>
  <c r="W365" i="11"/>
  <c r="W364" i="11"/>
  <c r="W363" i="11"/>
  <c r="W362" i="11"/>
  <c r="W361" i="11"/>
  <c r="W360" i="11"/>
  <c r="W359" i="11"/>
  <c r="W358" i="11"/>
  <c r="W357" i="11"/>
  <c r="W356" i="11"/>
  <c r="W355" i="11"/>
  <c r="W354" i="11"/>
  <c r="W353" i="11"/>
  <c r="W352" i="11"/>
  <c r="W351" i="11"/>
  <c r="W350" i="11"/>
  <c r="W349" i="11"/>
  <c r="W348" i="11"/>
  <c r="W347" i="11"/>
  <c r="W346" i="11"/>
  <c r="W345" i="11"/>
  <c r="W344" i="11"/>
  <c r="W343" i="11"/>
  <c r="W342" i="11"/>
  <c r="W341" i="11"/>
  <c r="W340" i="11"/>
  <c r="W339" i="11"/>
  <c r="W338" i="11"/>
  <c r="W337" i="11"/>
  <c r="W336" i="11"/>
  <c r="W335" i="11"/>
  <c r="W334" i="11"/>
  <c r="W333" i="11"/>
  <c r="W332" i="11"/>
  <c r="W331" i="11"/>
  <c r="W330" i="11"/>
  <c r="W329" i="11"/>
  <c r="W328" i="11"/>
  <c r="W327" i="11"/>
  <c r="W326" i="11"/>
  <c r="W325" i="11"/>
  <c r="W324" i="11"/>
  <c r="W323" i="11"/>
  <c r="W322" i="11"/>
  <c r="W321" i="11"/>
  <c r="W320" i="11"/>
  <c r="W319" i="11"/>
  <c r="W318" i="11"/>
  <c r="W317" i="11"/>
  <c r="W316" i="11"/>
  <c r="W315" i="11"/>
  <c r="W314" i="11"/>
  <c r="W313" i="11"/>
  <c r="W312" i="11"/>
  <c r="W311" i="11"/>
  <c r="W310" i="11"/>
  <c r="W309" i="11"/>
  <c r="W308" i="11"/>
  <c r="W307" i="11"/>
  <c r="W306" i="11"/>
  <c r="W305" i="11"/>
  <c r="W304" i="11"/>
  <c r="W303" i="11"/>
  <c r="W302" i="11"/>
  <c r="W301" i="11"/>
  <c r="W300" i="11"/>
  <c r="W299" i="11"/>
  <c r="W298" i="11"/>
  <c r="W297" i="11"/>
  <c r="W296" i="11"/>
  <c r="W295" i="11"/>
  <c r="W294" i="11"/>
  <c r="W293" i="11"/>
  <c r="W292" i="11"/>
  <c r="W291" i="11"/>
  <c r="W290" i="11"/>
  <c r="W289" i="11"/>
  <c r="W288" i="11"/>
  <c r="W287" i="11"/>
  <c r="W286" i="11"/>
  <c r="W285" i="11"/>
  <c r="W284" i="11"/>
  <c r="W283" i="11"/>
  <c r="W282" i="11"/>
  <c r="W281" i="11"/>
  <c r="W280" i="11"/>
  <c r="W279" i="11"/>
  <c r="W278" i="11"/>
  <c r="W277" i="11"/>
  <c r="W276" i="11"/>
  <c r="W275" i="11"/>
  <c r="W274" i="11"/>
  <c r="W273" i="11"/>
  <c r="W272" i="11"/>
  <c r="W271" i="11"/>
  <c r="W270" i="11"/>
  <c r="W269" i="11"/>
  <c r="W268" i="11"/>
  <c r="W267" i="11"/>
  <c r="W266" i="11"/>
  <c r="W265" i="11"/>
  <c r="W264" i="11"/>
  <c r="W263" i="11"/>
  <c r="W262" i="11"/>
  <c r="W261" i="11"/>
  <c r="W260" i="11"/>
  <c r="W259" i="11"/>
  <c r="W258" i="11"/>
  <c r="W257" i="11"/>
  <c r="W256" i="11"/>
  <c r="W255" i="11"/>
  <c r="W254" i="11"/>
  <c r="W253" i="11"/>
  <c r="W252" i="11"/>
  <c r="W251" i="11"/>
  <c r="W250" i="11"/>
  <c r="W249" i="11"/>
  <c r="W248" i="11"/>
  <c r="W247" i="11"/>
  <c r="W246" i="11"/>
  <c r="W245" i="11"/>
  <c r="W244" i="11"/>
  <c r="W243" i="11"/>
  <c r="W242" i="11"/>
  <c r="W241" i="11"/>
  <c r="W240" i="11"/>
  <c r="W239" i="11"/>
  <c r="W238" i="11"/>
  <c r="W237" i="11"/>
  <c r="W236" i="11"/>
  <c r="W235" i="11"/>
  <c r="W234" i="11"/>
  <c r="W233" i="11"/>
  <c r="W232" i="11"/>
  <c r="W231" i="11"/>
  <c r="W230" i="11"/>
  <c r="W229" i="11"/>
  <c r="W228" i="11"/>
  <c r="W227" i="11"/>
  <c r="W226" i="11"/>
  <c r="W225" i="11"/>
  <c r="W224" i="11"/>
  <c r="W223" i="11"/>
  <c r="W222" i="11"/>
  <c r="W221" i="11"/>
  <c r="W220" i="11"/>
  <c r="W219" i="11"/>
  <c r="W218" i="11"/>
  <c r="W217" i="11"/>
  <c r="W216" i="11"/>
  <c r="W215" i="11"/>
  <c r="W214" i="11"/>
  <c r="W213" i="11"/>
  <c r="W212" i="11"/>
  <c r="W211" i="11"/>
  <c r="W210" i="11"/>
  <c r="W209" i="11"/>
  <c r="W208" i="11"/>
  <c r="W207" i="11"/>
  <c r="W206" i="11"/>
  <c r="W205" i="11"/>
  <c r="W204" i="11"/>
  <c r="W203" i="11"/>
  <c r="W202" i="11"/>
  <c r="W201" i="11"/>
  <c r="W200" i="11"/>
  <c r="W199" i="11"/>
  <c r="W198" i="11"/>
  <c r="W197" i="11"/>
  <c r="W196" i="11"/>
  <c r="W195" i="11"/>
  <c r="W194" i="11"/>
  <c r="W193" i="11"/>
  <c r="W192" i="11"/>
  <c r="W191" i="11"/>
  <c r="W190" i="11"/>
  <c r="W189" i="11"/>
  <c r="W188" i="11"/>
  <c r="W187" i="11"/>
  <c r="W186" i="11"/>
  <c r="W185" i="11"/>
  <c r="W184" i="11"/>
  <c r="W183" i="11"/>
  <c r="W182" i="11"/>
  <c r="W181" i="11"/>
  <c r="W180" i="11"/>
  <c r="W179" i="11"/>
  <c r="W178" i="11"/>
  <c r="W177" i="11"/>
  <c r="W176" i="11"/>
  <c r="W175" i="11"/>
  <c r="W174" i="11"/>
  <c r="W173" i="11"/>
  <c r="W172" i="11"/>
  <c r="W171" i="11"/>
  <c r="W170" i="11"/>
  <c r="W169" i="11"/>
  <c r="W168" i="11"/>
  <c r="W167" i="11"/>
  <c r="W166" i="11"/>
  <c r="W165" i="11"/>
  <c r="W164" i="11"/>
  <c r="W163" i="11"/>
  <c r="W162" i="11"/>
  <c r="W161" i="11"/>
  <c r="W160" i="11"/>
  <c r="W159" i="11"/>
  <c r="W158" i="11"/>
  <c r="W157" i="11"/>
  <c r="W156" i="11"/>
  <c r="W155" i="11"/>
  <c r="W154" i="11"/>
  <c r="W153" i="11"/>
  <c r="W152" i="11"/>
  <c r="W151" i="11"/>
  <c r="W150" i="11"/>
  <c r="W149" i="11"/>
  <c r="W148" i="11"/>
  <c r="W147" i="11"/>
  <c r="W146" i="11"/>
  <c r="W145" i="11"/>
  <c r="W144" i="11"/>
  <c r="W143" i="11"/>
  <c r="W142" i="11"/>
  <c r="W141" i="11"/>
  <c r="W140" i="11"/>
  <c r="W139" i="11"/>
  <c r="W138" i="11"/>
  <c r="W137" i="11"/>
  <c r="W136" i="11"/>
  <c r="W135" i="11"/>
  <c r="W134" i="11"/>
  <c r="W133" i="11"/>
  <c r="W132" i="11"/>
  <c r="W131" i="11"/>
  <c r="W130" i="11"/>
  <c r="W129" i="11"/>
  <c r="W128" i="11"/>
  <c r="W127" i="11"/>
  <c r="W126" i="11"/>
  <c r="W125" i="11"/>
  <c r="W124" i="11"/>
  <c r="W123" i="11"/>
  <c r="W122" i="11"/>
  <c r="W121" i="11"/>
  <c r="W120" i="11"/>
  <c r="W119" i="11"/>
  <c r="W118" i="11"/>
  <c r="W117" i="11"/>
  <c r="W116" i="11"/>
  <c r="W115" i="11"/>
  <c r="W114" i="11"/>
  <c r="W113" i="11"/>
  <c r="W112" i="11"/>
  <c r="W111" i="11"/>
  <c r="W110" i="11"/>
  <c r="W109" i="11"/>
  <c r="W108" i="11"/>
  <c r="W107" i="11"/>
  <c r="W106" i="11"/>
  <c r="W105" i="11"/>
  <c r="W104" i="11"/>
  <c r="W103" i="11"/>
  <c r="W102" i="11"/>
  <c r="W101" i="11"/>
  <c r="W100" i="11"/>
  <c r="W99" i="11"/>
  <c r="W98" i="11"/>
  <c r="W97" i="11"/>
  <c r="W96" i="11"/>
  <c r="W95" i="11"/>
  <c r="W94" i="11"/>
  <c r="W93" i="11"/>
  <c r="W92" i="11"/>
  <c r="W91" i="11"/>
  <c r="W90" i="11"/>
  <c r="W89" i="11"/>
  <c r="W88" i="11"/>
  <c r="W87" i="11"/>
  <c r="W86" i="11"/>
  <c r="W85" i="11"/>
  <c r="W84" i="11"/>
  <c r="W83" i="11"/>
  <c r="W82" i="11"/>
  <c r="W81" i="11"/>
  <c r="W80" i="11"/>
  <c r="W79" i="11"/>
  <c r="W78" i="11"/>
  <c r="W77" i="11"/>
  <c r="W76" i="11"/>
  <c r="W75" i="11"/>
  <c r="W74" i="11"/>
  <c r="W73" i="11"/>
  <c r="W72" i="11"/>
  <c r="W71" i="11"/>
  <c r="W70" i="11"/>
  <c r="W69" i="11"/>
  <c r="W68" i="11"/>
  <c r="W67" i="11"/>
  <c r="W66" i="11"/>
  <c r="W65" i="11"/>
  <c r="W64" i="11"/>
  <c r="W63" i="11"/>
  <c r="W62" i="11"/>
  <c r="W61" i="11"/>
  <c r="W60" i="11"/>
  <c r="W59" i="11"/>
  <c r="W58" i="11"/>
  <c r="W57" i="11"/>
  <c r="W56" i="11"/>
  <c r="W55" i="11"/>
  <c r="W54" i="11"/>
  <c r="W53" i="11"/>
  <c r="W52" i="11"/>
  <c r="W51" i="11"/>
  <c r="W50" i="11"/>
  <c r="W49" i="11"/>
  <c r="W48" i="11"/>
  <c r="W47" i="11"/>
  <c r="W46" i="11"/>
  <c r="W45" i="11"/>
  <c r="W44" i="11"/>
  <c r="W43" i="11"/>
  <c r="W42" i="11"/>
  <c r="W41" i="11"/>
  <c r="W40" i="11"/>
  <c r="W39" i="11"/>
  <c r="W38" i="11"/>
  <c r="W37" i="11"/>
  <c r="W36" i="11"/>
  <c r="W35" i="11"/>
  <c r="W34" i="11"/>
  <c r="W33" i="11"/>
  <c r="W32" i="11"/>
  <c r="W31" i="11"/>
  <c r="W30" i="11"/>
  <c r="W29" i="11"/>
  <c r="W28" i="11"/>
  <c r="W27" i="11"/>
  <c r="W26" i="11"/>
  <c r="W25" i="11"/>
  <c r="W24" i="11"/>
  <c r="W23" i="11"/>
  <c r="W22" i="11"/>
  <c r="W21" i="11"/>
  <c r="W20" i="11"/>
  <c r="W19" i="11"/>
  <c r="W18" i="11"/>
  <c r="W17" i="11"/>
  <c r="W16" i="11"/>
  <c r="W514" i="10"/>
  <c r="W513" i="10"/>
  <c r="W512" i="10"/>
  <c r="W511" i="10"/>
  <c r="W510" i="10"/>
  <c r="W509" i="10"/>
  <c r="W508" i="10"/>
  <c r="W507" i="10"/>
  <c r="W506" i="10"/>
  <c r="W505" i="10"/>
  <c r="W504" i="10"/>
  <c r="W503" i="10"/>
  <c r="W502" i="10"/>
  <c r="W501" i="10"/>
  <c r="W500" i="10"/>
  <c r="W499" i="10"/>
  <c r="W498" i="10"/>
  <c r="W497" i="10"/>
  <c r="W496" i="10"/>
  <c r="W495" i="10"/>
  <c r="W494" i="10"/>
  <c r="W493" i="10"/>
  <c r="W492" i="10"/>
  <c r="W491" i="10"/>
  <c r="W490" i="10"/>
  <c r="W489" i="10"/>
  <c r="W488" i="10"/>
  <c r="W487" i="10"/>
  <c r="W486" i="10"/>
  <c r="W485" i="10"/>
  <c r="W484" i="10"/>
  <c r="W483" i="10"/>
  <c r="W482" i="10"/>
  <c r="W481" i="10"/>
  <c r="W480" i="10"/>
  <c r="W479" i="10"/>
  <c r="W478" i="10"/>
  <c r="W477" i="10"/>
  <c r="W476" i="10"/>
  <c r="W475" i="10"/>
  <c r="W474" i="10"/>
  <c r="W473" i="10"/>
  <c r="W472" i="10"/>
  <c r="W471" i="10"/>
  <c r="W470" i="10"/>
  <c r="W469" i="10"/>
  <c r="W468" i="10"/>
  <c r="W467" i="10"/>
  <c r="W466" i="10"/>
  <c r="W465" i="10"/>
  <c r="W464" i="10"/>
  <c r="W463" i="10"/>
  <c r="W462" i="10"/>
  <c r="W461" i="10"/>
  <c r="W460" i="10"/>
  <c r="W459" i="10"/>
  <c r="W458" i="10"/>
  <c r="W457" i="10"/>
  <c r="W456" i="10"/>
  <c r="W455" i="10"/>
  <c r="W454" i="10"/>
  <c r="W453" i="10"/>
  <c r="W452" i="10"/>
  <c r="W451" i="10"/>
  <c r="W450" i="10"/>
  <c r="W449" i="10"/>
  <c r="W448" i="10"/>
  <c r="W447" i="10"/>
  <c r="W446" i="10"/>
  <c r="W445" i="10"/>
  <c r="W444" i="10"/>
  <c r="W443" i="10"/>
  <c r="W442" i="10"/>
  <c r="W441" i="10"/>
  <c r="W440" i="10"/>
  <c r="W439" i="10"/>
  <c r="W438" i="10"/>
  <c r="W437" i="10"/>
  <c r="W436" i="10"/>
  <c r="W435" i="10"/>
  <c r="W434" i="10"/>
  <c r="W433" i="10"/>
  <c r="W432" i="10"/>
  <c r="W431" i="10"/>
  <c r="W430" i="10"/>
  <c r="W429" i="10"/>
  <c r="W428" i="10"/>
  <c r="W427" i="10"/>
  <c r="W426" i="10"/>
  <c r="W425" i="10"/>
  <c r="W424" i="10"/>
  <c r="W423" i="10"/>
  <c r="W422" i="10"/>
  <c r="W421" i="10"/>
  <c r="W420" i="10"/>
  <c r="W419" i="10"/>
  <c r="W418" i="10"/>
  <c r="W417" i="10"/>
  <c r="W416" i="10"/>
  <c r="W415" i="10"/>
  <c r="W414" i="10"/>
  <c r="W413" i="10"/>
  <c r="W412" i="10"/>
  <c r="W411" i="10"/>
  <c r="W410" i="10"/>
  <c r="W409" i="10"/>
  <c r="W408" i="10"/>
  <c r="W407" i="10"/>
  <c r="W406" i="10"/>
  <c r="W405" i="10"/>
  <c r="W404" i="10"/>
  <c r="W403" i="10"/>
  <c r="W402" i="10"/>
  <c r="W401" i="10"/>
  <c r="W400" i="10"/>
  <c r="W399" i="10"/>
  <c r="W398" i="10"/>
  <c r="W397" i="10"/>
  <c r="W396" i="10"/>
  <c r="W395" i="10"/>
  <c r="W394" i="10"/>
  <c r="W393" i="10"/>
  <c r="W392" i="10"/>
  <c r="W391" i="10"/>
  <c r="W390" i="10"/>
  <c r="W389" i="10"/>
  <c r="W388" i="10"/>
  <c r="W387" i="10"/>
  <c r="W386" i="10"/>
  <c r="W385" i="10"/>
  <c r="W384" i="10"/>
  <c r="W383" i="10"/>
  <c r="W382" i="10"/>
  <c r="W381" i="10"/>
  <c r="W380" i="10"/>
  <c r="W379" i="10"/>
  <c r="W378" i="10"/>
  <c r="W377" i="10"/>
  <c r="W376" i="10"/>
  <c r="W375" i="10"/>
  <c r="W374" i="10"/>
  <c r="W373" i="10"/>
  <c r="W372" i="10"/>
  <c r="W371" i="10"/>
  <c r="W370" i="10"/>
  <c r="W369" i="10"/>
  <c r="W368" i="10"/>
  <c r="W367" i="10"/>
  <c r="W366" i="10"/>
  <c r="W365" i="10"/>
  <c r="W364" i="10"/>
  <c r="W363" i="10"/>
  <c r="W362" i="10"/>
  <c r="W361" i="10"/>
  <c r="W360" i="10"/>
  <c r="W359" i="10"/>
  <c r="W358" i="10"/>
  <c r="W357" i="10"/>
  <c r="W356" i="10"/>
  <c r="W355" i="10"/>
  <c r="W354" i="10"/>
  <c r="W353" i="10"/>
  <c r="W352" i="10"/>
  <c r="W351" i="10"/>
  <c r="W350" i="10"/>
  <c r="W349" i="10"/>
  <c r="W348" i="10"/>
  <c r="W347" i="10"/>
  <c r="W346" i="10"/>
  <c r="W345" i="10"/>
  <c r="W344" i="10"/>
  <c r="W343" i="10"/>
  <c r="W342" i="10"/>
  <c r="W341" i="10"/>
  <c r="W340" i="10"/>
  <c r="W339" i="10"/>
  <c r="W338" i="10"/>
  <c r="W337" i="10"/>
  <c r="W336" i="10"/>
  <c r="W335" i="10"/>
  <c r="W334" i="10"/>
  <c r="W333" i="10"/>
  <c r="W332" i="10"/>
  <c r="W331" i="10"/>
  <c r="W330" i="10"/>
  <c r="W329" i="10"/>
  <c r="W328" i="10"/>
  <c r="W327" i="10"/>
  <c r="W326" i="10"/>
  <c r="W325" i="10"/>
  <c r="W324" i="10"/>
  <c r="W323" i="10"/>
  <c r="W322" i="10"/>
  <c r="W321" i="10"/>
  <c r="W320" i="10"/>
  <c r="W319" i="10"/>
  <c r="W318" i="10"/>
  <c r="W317" i="10"/>
  <c r="W316" i="10"/>
  <c r="W315" i="10"/>
  <c r="W314" i="10"/>
  <c r="W313" i="10"/>
  <c r="W312" i="10"/>
  <c r="W311" i="10"/>
  <c r="W310" i="10"/>
  <c r="W309" i="10"/>
  <c r="W308" i="10"/>
  <c r="W307" i="10"/>
  <c r="W306" i="10"/>
  <c r="W305" i="10"/>
  <c r="W304" i="10"/>
  <c r="W303" i="10"/>
  <c r="W302" i="10"/>
  <c r="W301" i="10"/>
  <c r="W300" i="10"/>
  <c r="W299" i="10"/>
  <c r="W298" i="10"/>
  <c r="W297" i="10"/>
  <c r="W296" i="10"/>
  <c r="W295" i="10"/>
  <c r="W294" i="10"/>
  <c r="W293" i="10"/>
  <c r="W292" i="10"/>
  <c r="W291" i="10"/>
  <c r="W290" i="10"/>
  <c r="W289" i="10"/>
  <c r="W288" i="10"/>
  <c r="W287" i="10"/>
  <c r="W286" i="10"/>
  <c r="W285" i="10"/>
  <c r="W284" i="10"/>
  <c r="W283" i="10"/>
  <c r="W282" i="10"/>
  <c r="W281" i="10"/>
  <c r="W280" i="10"/>
  <c r="W279" i="10"/>
  <c r="W278" i="10"/>
  <c r="W277" i="10"/>
  <c r="W276" i="10"/>
  <c r="W275" i="10"/>
  <c r="W274" i="10"/>
  <c r="W273" i="10"/>
  <c r="W272" i="10"/>
  <c r="W271" i="10"/>
  <c r="W270" i="10"/>
  <c r="W269" i="10"/>
  <c r="W268" i="10"/>
  <c r="W267" i="10"/>
  <c r="W266" i="10"/>
  <c r="W265" i="10"/>
  <c r="W264" i="10"/>
  <c r="W263" i="10"/>
  <c r="W262" i="10"/>
  <c r="W261" i="10"/>
  <c r="W260" i="10"/>
  <c r="W259" i="10"/>
  <c r="W258" i="10"/>
  <c r="W257" i="10"/>
  <c r="W256" i="10"/>
  <c r="W255" i="10"/>
  <c r="W254" i="10"/>
  <c r="W253" i="10"/>
  <c r="W252" i="10"/>
  <c r="W251" i="10"/>
  <c r="W250" i="10"/>
  <c r="W249" i="10"/>
  <c r="W248" i="10"/>
  <c r="W247" i="10"/>
  <c r="W246" i="10"/>
  <c r="W245" i="10"/>
  <c r="W244" i="10"/>
  <c r="W243" i="10"/>
  <c r="W242" i="10"/>
  <c r="W241" i="10"/>
  <c r="W240" i="10"/>
  <c r="W239" i="10"/>
  <c r="W238" i="10"/>
  <c r="W237" i="10"/>
  <c r="W236" i="10"/>
  <c r="W235" i="10"/>
  <c r="W234" i="10"/>
  <c r="W233" i="10"/>
  <c r="W232" i="10"/>
  <c r="W231" i="10"/>
  <c r="W230" i="10"/>
  <c r="W229" i="10"/>
  <c r="W228" i="10"/>
  <c r="W227" i="10"/>
  <c r="W226" i="10"/>
  <c r="W225" i="10"/>
  <c r="W224" i="10"/>
  <c r="W223" i="10"/>
  <c r="W222" i="10"/>
  <c r="W221" i="10"/>
  <c r="W220" i="10"/>
  <c r="W219" i="10"/>
  <c r="W218" i="10"/>
  <c r="W217" i="10"/>
  <c r="W216" i="10"/>
  <c r="W215" i="10"/>
  <c r="W214" i="10"/>
  <c r="W213" i="10"/>
  <c r="W212" i="10"/>
  <c r="W211" i="10"/>
  <c r="W210" i="10"/>
  <c r="W209" i="10"/>
  <c r="W208" i="10"/>
  <c r="W207" i="10"/>
  <c r="W206" i="10"/>
  <c r="W205" i="10"/>
  <c r="W204" i="10"/>
  <c r="W203" i="10"/>
  <c r="W202" i="10"/>
  <c r="W201" i="10"/>
  <c r="W200" i="10"/>
  <c r="W199" i="10"/>
  <c r="W198" i="10"/>
  <c r="W197" i="10"/>
  <c r="W196" i="10"/>
  <c r="W195" i="10"/>
  <c r="W194" i="10"/>
  <c r="W193" i="10"/>
  <c r="W192" i="10"/>
  <c r="W191" i="10"/>
  <c r="W190" i="10"/>
  <c r="W189" i="10"/>
  <c r="W188" i="10"/>
  <c r="W187" i="10"/>
  <c r="W186" i="10"/>
  <c r="W185" i="10"/>
  <c r="W184" i="10"/>
  <c r="W183" i="10"/>
  <c r="W182" i="10"/>
  <c r="W181" i="10"/>
  <c r="W180" i="10"/>
  <c r="W179" i="10"/>
  <c r="W178" i="10"/>
  <c r="W177" i="10"/>
  <c r="W176" i="10"/>
  <c r="W175" i="10"/>
  <c r="W174" i="10"/>
  <c r="W173" i="10"/>
  <c r="W172" i="10"/>
  <c r="W171" i="10"/>
  <c r="W170" i="10"/>
  <c r="W169" i="10"/>
  <c r="W168" i="10"/>
  <c r="W167" i="10"/>
  <c r="W166" i="10"/>
  <c r="W165" i="10"/>
  <c r="W164" i="10"/>
  <c r="W163" i="10"/>
  <c r="W162" i="10"/>
  <c r="W161" i="10"/>
  <c r="W160" i="10"/>
  <c r="W159" i="10"/>
  <c r="W158" i="10"/>
  <c r="W157" i="10"/>
  <c r="W156" i="10"/>
  <c r="W155" i="10"/>
  <c r="W154" i="10"/>
  <c r="W153" i="10"/>
  <c r="W152" i="10"/>
  <c r="W151" i="10"/>
  <c r="W150" i="10"/>
  <c r="W149" i="10"/>
  <c r="W148" i="10"/>
  <c r="W147" i="10"/>
  <c r="W146" i="10"/>
  <c r="W145" i="10"/>
  <c r="W144" i="10"/>
  <c r="W143" i="10"/>
  <c r="W142" i="10"/>
  <c r="W141" i="10"/>
  <c r="W140" i="10"/>
  <c r="W139" i="10"/>
  <c r="W138" i="10"/>
  <c r="W137" i="10"/>
  <c r="W136" i="10"/>
  <c r="W135" i="10"/>
  <c r="W134" i="10"/>
  <c r="W133" i="10"/>
  <c r="W132" i="10"/>
  <c r="W131" i="10"/>
  <c r="W130" i="10"/>
  <c r="W129" i="10"/>
  <c r="W128" i="10"/>
  <c r="W127" i="10"/>
  <c r="W126" i="10"/>
  <c r="W125" i="10"/>
  <c r="W124" i="10"/>
  <c r="W123" i="10"/>
  <c r="W122" i="10"/>
  <c r="W121" i="10"/>
  <c r="W120" i="10"/>
  <c r="W119" i="10"/>
  <c r="W118" i="10"/>
  <c r="W117" i="10"/>
  <c r="W116" i="10"/>
  <c r="W115" i="10"/>
  <c r="W114" i="10"/>
  <c r="W113" i="10"/>
  <c r="W112" i="10"/>
  <c r="W111" i="10"/>
  <c r="W110" i="10"/>
  <c r="W109" i="10"/>
  <c r="W108" i="10"/>
  <c r="W107" i="10"/>
  <c r="W106" i="10"/>
  <c r="W105" i="10"/>
  <c r="W104" i="10"/>
  <c r="W103" i="10"/>
  <c r="W102" i="10"/>
  <c r="W101" i="10"/>
  <c r="W100" i="10"/>
  <c r="W99" i="10"/>
  <c r="W98" i="10"/>
  <c r="W97" i="10"/>
  <c r="W96" i="10"/>
  <c r="W95" i="10"/>
  <c r="W94" i="10"/>
  <c r="W93" i="10"/>
  <c r="W92" i="10"/>
  <c r="W91" i="10"/>
  <c r="W90" i="10"/>
  <c r="W89" i="10"/>
  <c r="W88" i="10"/>
  <c r="W87" i="10"/>
  <c r="W86" i="10"/>
  <c r="W85" i="10"/>
  <c r="W84" i="10"/>
  <c r="W83" i="10"/>
  <c r="W82" i="10"/>
  <c r="W81" i="10"/>
  <c r="W80" i="10"/>
  <c r="W79" i="10"/>
  <c r="W78" i="10"/>
  <c r="W77" i="10"/>
  <c r="W76" i="10"/>
  <c r="W75" i="10"/>
  <c r="W74" i="10"/>
  <c r="W73" i="10"/>
  <c r="W72" i="10"/>
  <c r="W71" i="10"/>
  <c r="W70" i="10"/>
  <c r="W69" i="10"/>
  <c r="W68" i="10"/>
  <c r="W67" i="10"/>
  <c r="W66" i="10"/>
  <c r="W65" i="10"/>
  <c r="W64" i="10"/>
  <c r="W63" i="10"/>
  <c r="W62" i="10"/>
  <c r="W61" i="10"/>
  <c r="W60" i="10"/>
  <c r="W59" i="10"/>
  <c r="W58" i="10"/>
  <c r="W57" i="10"/>
  <c r="W56" i="10"/>
  <c r="W55" i="10"/>
  <c r="W54" i="10"/>
  <c r="W53" i="10"/>
  <c r="W52" i="10"/>
  <c r="W51" i="10"/>
  <c r="W50" i="10"/>
  <c r="W49" i="10"/>
  <c r="W48" i="10"/>
  <c r="W47" i="10"/>
  <c r="W46" i="10"/>
  <c r="W45" i="10"/>
  <c r="W44" i="10"/>
  <c r="W43" i="10"/>
  <c r="W42" i="10"/>
  <c r="W41" i="10"/>
  <c r="W40" i="10"/>
  <c r="W39" i="10"/>
  <c r="W38" i="10"/>
  <c r="W37" i="10"/>
  <c r="W36" i="10"/>
  <c r="W35" i="10"/>
  <c r="W34" i="10"/>
  <c r="W33" i="10"/>
  <c r="W32" i="10"/>
  <c r="W31" i="10"/>
  <c r="W30" i="10"/>
  <c r="W29" i="10"/>
  <c r="W28" i="10"/>
  <c r="W27" i="10"/>
  <c r="W26" i="10"/>
  <c r="W25" i="10"/>
  <c r="W24" i="10"/>
  <c r="W23" i="10"/>
  <c r="W22" i="10"/>
  <c r="W21" i="10"/>
  <c r="W20" i="10"/>
  <c r="W19" i="10"/>
  <c r="W18" i="10"/>
  <c r="W17" i="10"/>
  <c r="W16" i="10"/>
  <c r="W514" i="9"/>
  <c r="W513" i="9"/>
  <c r="W512" i="9"/>
  <c r="W511" i="9"/>
  <c r="W510" i="9"/>
  <c r="W509" i="9"/>
  <c r="W508" i="9"/>
  <c r="W507" i="9"/>
  <c r="W506" i="9"/>
  <c r="W505" i="9"/>
  <c r="W504" i="9"/>
  <c r="W503" i="9"/>
  <c r="W502" i="9"/>
  <c r="W501" i="9"/>
  <c r="W500" i="9"/>
  <c r="W499" i="9"/>
  <c r="W498" i="9"/>
  <c r="W497" i="9"/>
  <c r="W496" i="9"/>
  <c r="W495" i="9"/>
  <c r="W494" i="9"/>
  <c r="W493" i="9"/>
  <c r="W492" i="9"/>
  <c r="W491" i="9"/>
  <c r="W490" i="9"/>
  <c r="W489" i="9"/>
  <c r="W488" i="9"/>
  <c r="W487" i="9"/>
  <c r="W486" i="9"/>
  <c r="W485" i="9"/>
  <c r="W484" i="9"/>
  <c r="W483" i="9"/>
  <c r="W482" i="9"/>
  <c r="W481" i="9"/>
  <c r="W480" i="9"/>
  <c r="W479" i="9"/>
  <c r="W478" i="9"/>
  <c r="W477" i="9"/>
  <c r="W476" i="9"/>
  <c r="W475" i="9"/>
  <c r="W474" i="9"/>
  <c r="W473" i="9"/>
  <c r="W472" i="9"/>
  <c r="W471" i="9"/>
  <c r="W470" i="9"/>
  <c r="W469" i="9"/>
  <c r="W468" i="9"/>
  <c r="W467" i="9"/>
  <c r="W466" i="9"/>
  <c r="W465" i="9"/>
  <c r="W464" i="9"/>
  <c r="W463" i="9"/>
  <c r="W462" i="9"/>
  <c r="W461" i="9"/>
  <c r="W460" i="9"/>
  <c r="W459" i="9"/>
  <c r="W458" i="9"/>
  <c r="W457" i="9"/>
  <c r="W456" i="9"/>
  <c r="W455" i="9"/>
  <c r="W454" i="9"/>
  <c r="W453" i="9"/>
  <c r="W452" i="9"/>
  <c r="W451" i="9"/>
  <c r="W450" i="9"/>
  <c r="W449" i="9"/>
  <c r="W448" i="9"/>
  <c r="W447" i="9"/>
  <c r="W446" i="9"/>
  <c r="W445" i="9"/>
  <c r="W444" i="9"/>
  <c r="W443" i="9"/>
  <c r="W442" i="9"/>
  <c r="W441" i="9"/>
  <c r="W440" i="9"/>
  <c r="W439" i="9"/>
  <c r="W438" i="9"/>
  <c r="W437" i="9"/>
  <c r="W436" i="9"/>
  <c r="W435" i="9"/>
  <c r="W434" i="9"/>
  <c r="W433" i="9"/>
  <c r="W432" i="9"/>
  <c r="W431" i="9"/>
  <c r="W430" i="9"/>
  <c r="W429" i="9"/>
  <c r="W428" i="9"/>
  <c r="W427" i="9"/>
  <c r="W426" i="9"/>
  <c r="W425" i="9"/>
  <c r="W424" i="9"/>
  <c r="W423" i="9"/>
  <c r="W422" i="9"/>
  <c r="W421" i="9"/>
  <c r="W420" i="9"/>
  <c r="W419" i="9"/>
  <c r="W418" i="9"/>
  <c r="W417" i="9"/>
  <c r="W416" i="9"/>
  <c r="W415" i="9"/>
  <c r="W414" i="9"/>
  <c r="W413" i="9"/>
  <c r="W412" i="9"/>
  <c r="W411" i="9"/>
  <c r="W410" i="9"/>
  <c r="W409" i="9"/>
  <c r="W408" i="9"/>
  <c r="W407" i="9"/>
  <c r="W406" i="9"/>
  <c r="W405" i="9"/>
  <c r="W404" i="9"/>
  <c r="W403" i="9"/>
  <c r="W402" i="9"/>
  <c r="W401" i="9"/>
  <c r="W400" i="9"/>
  <c r="W399" i="9"/>
  <c r="W398" i="9"/>
  <c r="W397" i="9"/>
  <c r="W396" i="9"/>
  <c r="W395" i="9"/>
  <c r="W394" i="9"/>
  <c r="W393" i="9"/>
  <c r="W392" i="9"/>
  <c r="W391" i="9"/>
  <c r="W390" i="9"/>
  <c r="W389" i="9"/>
  <c r="W388" i="9"/>
  <c r="W387" i="9"/>
  <c r="W386" i="9"/>
  <c r="W385" i="9"/>
  <c r="W384" i="9"/>
  <c r="W383" i="9"/>
  <c r="W382" i="9"/>
  <c r="W381" i="9"/>
  <c r="W380" i="9"/>
  <c r="W379" i="9"/>
  <c r="W378" i="9"/>
  <c r="W377" i="9"/>
  <c r="W376" i="9"/>
  <c r="W375" i="9"/>
  <c r="W374" i="9"/>
  <c r="W373" i="9"/>
  <c r="W372" i="9"/>
  <c r="W371" i="9"/>
  <c r="W370" i="9"/>
  <c r="W369" i="9"/>
  <c r="W368" i="9"/>
  <c r="W367" i="9"/>
  <c r="W366" i="9"/>
  <c r="W365" i="9"/>
  <c r="W364" i="9"/>
  <c r="W363" i="9"/>
  <c r="W362" i="9"/>
  <c r="W361" i="9"/>
  <c r="W360" i="9"/>
  <c r="W359" i="9"/>
  <c r="W358" i="9"/>
  <c r="W357" i="9"/>
  <c r="W356" i="9"/>
  <c r="W355" i="9"/>
  <c r="W354" i="9"/>
  <c r="W353" i="9"/>
  <c r="W352" i="9"/>
  <c r="W351" i="9"/>
  <c r="W350" i="9"/>
  <c r="W349" i="9"/>
  <c r="W348" i="9"/>
  <c r="W347" i="9"/>
  <c r="W346" i="9"/>
  <c r="W345" i="9"/>
  <c r="W344" i="9"/>
  <c r="W343" i="9"/>
  <c r="W342" i="9"/>
  <c r="W341" i="9"/>
  <c r="W340" i="9"/>
  <c r="W339" i="9"/>
  <c r="W338" i="9"/>
  <c r="W337" i="9"/>
  <c r="W336" i="9"/>
  <c r="W335" i="9"/>
  <c r="W334" i="9"/>
  <c r="W333" i="9"/>
  <c r="W332" i="9"/>
  <c r="W331" i="9"/>
  <c r="W330" i="9"/>
  <c r="W329" i="9"/>
  <c r="W328" i="9"/>
  <c r="W327" i="9"/>
  <c r="W326" i="9"/>
  <c r="W325" i="9"/>
  <c r="W324" i="9"/>
  <c r="W323" i="9"/>
  <c r="W322" i="9"/>
  <c r="W321" i="9"/>
  <c r="W320" i="9"/>
  <c r="W319" i="9"/>
  <c r="W318" i="9"/>
  <c r="W317" i="9"/>
  <c r="W316" i="9"/>
  <c r="W315" i="9"/>
  <c r="W314" i="9"/>
  <c r="W313" i="9"/>
  <c r="W312" i="9"/>
  <c r="W311" i="9"/>
  <c r="W310" i="9"/>
  <c r="W309" i="9"/>
  <c r="W308" i="9"/>
  <c r="W307" i="9"/>
  <c r="W306" i="9"/>
  <c r="W305" i="9"/>
  <c r="W304" i="9"/>
  <c r="W303" i="9"/>
  <c r="W302" i="9"/>
  <c r="W301" i="9"/>
  <c r="W300" i="9"/>
  <c r="W299" i="9"/>
  <c r="W298" i="9"/>
  <c r="W297" i="9"/>
  <c r="W296" i="9"/>
  <c r="W295" i="9"/>
  <c r="W294" i="9"/>
  <c r="W293" i="9"/>
  <c r="W292" i="9"/>
  <c r="W291" i="9"/>
  <c r="W290" i="9"/>
  <c r="W289" i="9"/>
  <c r="W288" i="9"/>
  <c r="W287" i="9"/>
  <c r="W286" i="9"/>
  <c r="W285" i="9"/>
  <c r="W284" i="9"/>
  <c r="W283" i="9"/>
  <c r="W282" i="9"/>
  <c r="W281" i="9"/>
  <c r="W280" i="9"/>
  <c r="W279" i="9"/>
  <c r="W278" i="9"/>
  <c r="W277" i="9"/>
  <c r="W276" i="9"/>
  <c r="W275" i="9"/>
  <c r="W274" i="9"/>
  <c r="W273" i="9"/>
  <c r="W272" i="9"/>
  <c r="W271" i="9"/>
  <c r="W270" i="9"/>
  <c r="W269" i="9"/>
  <c r="W268" i="9"/>
  <c r="W267" i="9"/>
  <c r="W266" i="9"/>
  <c r="W265" i="9"/>
  <c r="W264" i="9"/>
  <c r="W263" i="9"/>
  <c r="W262" i="9"/>
  <c r="W261" i="9"/>
  <c r="W260" i="9"/>
  <c r="W259" i="9"/>
  <c r="W258" i="9"/>
  <c r="W257" i="9"/>
  <c r="W256" i="9"/>
  <c r="W255" i="9"/>
  <c r="W254" i="9"/>
  <c r="W253" i="9"/>
  <c r="W252" i="9"/>
  <c r="W251" i="9"/>
  <c r="W250" i="9"/>
  <c r="W249" i="9"/>
  <c r="W248" i="9"/>
  <c r="W247" i="9"/>
  <c r="W246" i="9"/>
  <c r="W245" i="9"/>
  <c r="W244" i="9"/>
  <c r="W243" i="9"/>
  <c r="W242" i="9"/>
  <c r="W241" i="9"/>
  <c r="W240" i="9"/>
  <c r="W239" i="9"/>
  <c r="W238" i="9"/>
  <c r="W237" i="9"/>
  <c r="W236" i="9"/>
  <c r="W235" i="9"/>
  <c r="W234" i="9"/>
  <c r="W233" i="9"/>
  <c r="W232" i="9"/>
  <c r="W231" i="9"/>
  <c r="W230" i="9"/>
  <c r="W229" i="9"/>
  <c r="W228" i="9"/>
  <c r="W227" i="9"/>
  <c r="W226" i="9"/>
  <c r="W225" i="9"/>
  <c r="W224" i="9"/>
  <c r="W223" i="9"/>
  <c r="W222" i="9"/>
  <c r="W221" i="9"/>
  <c r="W220" i="9"/>
  <c r="W219" i="9"/>
  <c r="W218" i="9"/>
  <c r="W217" i="9"/>
  <c r="W216" i="9"/>
  <c r="W215" i="9"/>
  <c r="W214" i="9"/>
  <c r="W213" i="9"/>
  <c r="W212" i="9"/>
  <c r="W211" i="9"/>
  <c r="W210" i="9"/>
  <c r="W209" i="9"/>
  <c r="W208" i="9"/>
  <c r="W207" i="9"/>
  <c r="W206" i="9"/>
  <c r="W205" i="9"/>
  <c r="W204" i="9"/>
  <c r="W203" i="9"/>
  <c r="W202" i="9"/>
  <c r="W201" i="9"/>
  <c r="W200" i="9"/>
  <c r="W199" i="9"/>
  <c r="W198" i="9"/>
  <c r="W197" i="9"/>
  <c r="W196" i="9"/>
  <c r="W195" i="9"/>
  <c r="W194" i="9"/>
  <c r="W193" i="9"/>
  <c r="W192" i="9"/>
  <c r="W191" i="9"/>
  <c r="W190" i="9"/>
  <c r="W189" i="9"/>
  <c r="W188" i="9"/>
  <c r="W187" i="9"/>
  <c r="W186" i="9"/>
  <c r="W185" i="9"/>
  <c r="W184" i="9"/>
  <c r="W183" i="9"/>
  <c r="W182" i="9"/>
  <c r="W181" i="9"/>
  <c r="W180" i="9"/>
  <c r="W179" i="9"/>
  <c r="W178" i="9"/>
  <c r="W177" i="9"/>
  <c r="W176" i="9"/>
  <c r="W175" i="9"/>
  <c r="W174" i="9"/>
  <c r="W173" i="9"/>
  <c r="W172" i="9"/>
  <c r="W171" i="9"/>
  <c r="W170" i="9"/>
  <c r="W169" i="9"/>
  <c r="W168" i="9"/>
  <c r="W167" i="9"/>
  <c r="W166" i="9"/>
  <c r="W165" i="9"/>
  <c r="W164" i="9"/>
  <c r="W163" i="9"/>
  <c r="W162" i="9"/>
  <c r="W161" i="9"/>
  <c r="W160" i="9"/>
  <c r="W159" i="9"/>
  <c r="W158" i="9"/>
  <c r="W157" i="9"/>
  <c r="W156" i="9"/>
  <c r="W155" i="9"/>
  <c r="W154" i="9"/>
  <c r="W153" i="9"/>
  <c r="W152" i="9"/>
  <c r="W151" i="9"/>
  <c r="W150" i="9"/>
  <c r="W149" i="9"/>
  <c r="W148" i="9"/>
  <c r="W147" i="9"/>
  <c r="W146" i="9"/>
  <c r="W145" i="9"/>
  <c r="W144" i="9"/>
  <c r="W143" i="9"/>
  <c r="W142" i="9"/>
  <c r="W141" i="9"/>
  <c r="W140" i="9"/>
  <c r="W139" i="9"/>
  <c r="W138" i="9"/>
  <c r="W137" i="9"/>
  <c r="W136" i="9"/>
  <c r="W135" i="9"/>
  <c r="W134" i="9"/>
  <c r="W133" i="9"/>
  <c r="W132" i="9"/>
  <c r="W131" i="9"/>
  <c r="W130" i="9"/>
  <c r="W129" i="9"/>
  <c r="W128" i="9"/>
  <c r="W127" i="9"/>
  <c r="W126" i="9"/>
  <c r="W125" i="9"/>
  <c r="W124" i="9"/>
  <c r="W123" i="9"/>
  <c r="W122" i="9"/>
  <c r="W121" i="9"/>
  <c r="W120" i="9"/>
  <c r="W119" i="9"/>
  <c r="W118" i="9"/>
  <c r="W117" i="9"/>
  <c r="W116" i="9"/>
  <c r="W115" i="9"/>
  <c r="W114" i="9"/>
  <c r="W113" i="9"/>
  <c r="W112" i="9"/>
  <c r="W111" i="9"/>
  <c r="W110" i="9"/>
  <c r="W109" i="9"/>
  <c r="W108" i="9"/>
  <c r="W107" i="9"/>
  <c r="W106" i="9"/>
  <c r="W105" i="9"/>
  <c r="W104" i="9"/>
  <c r="W103" i="9"/>
  <c r="W102" i="9"/>
  <c r="W101" i="9"/>
  <c r="W100" i="9"/>
  <c r="W99" i="9"/>
  <c r="W98" i="9"/>
  <c r="W97" i="9"/>
  <c r="W96" i="9"/>
  <c r="W95" i="9"/>
  <c r="W94" i="9"/>
  <c r="W93" i="9"/>
  <c r="W92" i="9"/>
  <c r="W91" i="9"/>
  <c r="W90" i="9"/>
  <c r="W89" i="9"/>
  <c r="W88" i="9"/>
  <c r="W87" i="9"/>
  <c r="W86" i="9"/>
  <c r="W85" i="9"/>
  <c r="W84" i="9"/>
  <c r="W83" i="9"/>
  <c r="W82" i="9"/>
  <c r="W81" i="9"/>
  <c r="W80" i="9"/>
  <c r="W79" i="9"/>
  <c r="W78" i="9"/>
  <c r="W77" i="9"/>
  <c r="W76" i="9"/>
  <c r="W75" i="9"/>
  <c r="W74" i="9"/>
  <c r="W73" i="9"/>
  <c r="W72" i="9"/>
  <c r="W71" i="9"/>
  <c r="W70" i="9"/>
  <c r="W69" i="9"/>
  <c r="W68" i="9"/>
  <c r="W67" i="9"/>
  <c r="W66" i="9"/>
  <c r="W65" i="9"/>
  <c r="W64" i="9"/>
  <c r="W63" i="9"/>
  <c r="W62" i="9"/>
  <c r="W61" i="9"/>
  <c r="W60" i="9"/>
  <c r="W59" i="9"/>
  <c r="W58" i="9"/>
  <c r="W57" i="9"/>
  <c r="W56" i="9"/>
  <c r="W55" i="9"/>
  <c r="W54" i="9"/>
  <c r="W53" i="9"/>
  <c r="W52" i="9"/>
  <c r="W51" i="9"/>
  <c r="W50" i="9"/>
  <c r="W49" i="9"/>
  <c r="W48" i="9"/>
  <c r="W47" i="9"/>
  <c r="W46" i="9"/>
  <c r="W45" i="9"/>
  <c r="W44" i="9"/>
  <c r="W43" i="9"/>
  <c r="W42" i="9"/>
  <c r="W41" i="9"/>
  <c r="W40" i="9"/>
  <c r="W39" i="9"/>
  <c r="W38" i="9"/>
  <c r="W37" i="9"/>
  <c r="W36" i="9"/>
  <c r="W35" i="9"/>
  <c r="W34" i="9"/>
  <c r="W33" i="9"/>
  <c r="W32" i="9"/>
  <c r="W31" i="9"/>
  <c r="W30" i="9"/>
  <c r="W29" i="9"/>
  <c r="W28" i="9"/>
  <c r="W27" i="9"/>
  <c r="W26" i="9"/>
  <c r="W25" i="9"/>
  <c r="W24" i="9"/>
  <c r="W23" i="9"/>
  <c r="W22" i="9"/>
  <c r="W21" i="9"/>
  <c r="W20" i="9"/>
  <c r="W19" i="9"/>
  <c r="W18" i="9"/>
  <c r="W17" i="9"/>
  <c r="W16" i="9"/>
  <c r="W514" i="8"/>
  <c r="W513" i="8"/>
  <c r="W512" i="8"/>
  <c r="W511" i="8"/>
  <c r="W510" i="8"/>
  <c r="W509" i="8"/>
  <c r="W508" i="8"/>
  <c r="W507" i="8"/>
  <c r="W506" i="8"/>
  <c r="W505" i="8"/>
  <c r="W504" i="8"/>
  <c r="W503" i="8"/>
  <c r="W502" i="8"/>
  <c r="W501" i="8"/>
  <c r="W500" i="8"/>
  <c r="W499" i="8"/>
  <c r="W498" i="8"/>
  <c r="W497" i="8"/>
  <c r="W496" i="8"/>
  <c r="W495" i="8"/>
  <c r="W494" i="8"/>
  <c r="W493" i="8"/>
  <c r="W492" i="8"/>
  <c r="W491" i="8"/>
  <c r="W490" i="8"/>
  <c r="W489" i="8"/>
  <c r="W488" i="8"/>
  <c r="W487" i="8"/>
  <c r="W486" i="8"/>
  <c r="W485" i="8"/>
  <c r="W484" i="8"/>
  <c r="W483" i="8"/>
  <c r="W482" i="8"/>
  <c r="W481" i="8"/>
  <c r="W480" i="8"/>
  <c r="W479" i="8"/>
  <c r="W478" i="8"/>
  <c r="W477" i="8"/>
  <c r="W476" i="8"/>
  <c r="W475" i="8"/>
  <c r="W474" i="8"/>
  <c r="W473" i="8"/>
  <c r="W472" i="8"/>
  <c r="W471" i="8"/>
  <c r="W470" i="8"/>
  <c r="W469" i="8"/>
  <c r="W468" i="8"/>
  <c r="W467" i="8"/>
  <c r="W466" i="8"/>
  <c r="W465" i="8"/>
  <c r="W464" i="8"/>
  <c r="W463" i="8"/>
  <c r="W462" i="8"/>
  <c r="W461" i="8"/>
  <c r="W460" i="8"/>
  <c r="W459" i="8"/>
  <c r="W458" i="8"/>
  <c r="W457" i="8"/>
  <c r="W456" i="8"/>
  <c r="W455" i="8"/>
  <c r="W454" i="8"/>
  <c r="W453" i="8"/>
  <c r="W452" i="8"/>
  <c r="W451" i="8"/>
  <c r="W450" i="8"/>
  <c r="W449" i="8"/>
  <c r="W448" i="8"/>
  <c r="W447" i="8"/>
  <c r="W446" i="8"/>
  <c r="W445" i="8"/>
  <c r="W444" i="8"/>
  <c r="W443" i="8"/>
  <c r="W442" i="8"/>
  <c r="W441" i="8"/>
  <c r="W440" i="8"/>
  <c r="W439" i="8"/>
  <c r="W438" i="8"/>
  <c r="W437" i="8"/>
  <c r="W436" i="8"/>
  <c r="W435" i="8"/>
  <c r="W434" i="8"/>
  <c r="W433" i="8"/>
  <c r="W432" i="8"/>
  <c r="W431" i="8"/>
  <c r="W430" i="8"/>
  <c r="W429" i="8"/>
  <c r="W428" i="8"/>
  <c r="W427" i="8"/>
  <c r="W426" i="8"/>
  <c r="W425" i="8"/>
  <c r="W424" i="8"/>
  <c r="W423" i="8"/>
  <c r="W422" i="8"/>
  <c r="W421" i="8"/>
  <c r="W420" i="8"/>
  <c r="W419" i="8"/>
  <c r="W418" i="8"/>
  <c r="W417" i="8"/>
  <c r="W416" i="8"/>
  <c r="W415" i="8"/>
  <c r="W414" i="8"/>
  <c r="W413" i="8"/>
  <c r="W412" i="8"/>
  <c r="W411" i="8"/>
  <c r="W410" i="8"/>
  <c r="W409" i="8"/>
  <c r="W408" i="8"/>
  <c r="W407" i="8"/>
  <c r="W406" i="8"/>
  <c r="W405" i="8"/>
  <c r="W404" i="8"/>
  <c r="W403" i="8"/>
  <c r="W402" i="8"/>
  <c r="W401" i="8"/>
  <c r="W400" i="8"/>
  <c r="W399" i="8"/>
  <c r="W398" i="8"/>
  <c r="W397" i="8"/>
  <c r="W396" i="8"/>
  <c r="W395" i="8"/>
  <c r="W394" i="8"/>
  <c r="W393" i="8"/>
  <c r="W392" i="8"/>
  <c r="W391" i="8"/>
  <c r="W390" i="8"/>
  <c r="W389" i="8"/>
  <c r="W388" i="8"/>
  <c r="W387" i="8"/>
  <c r="W386" i="8"/>
  <c r="W385" i="8"/>
  <c r="W384" i="8"/>
  <c r="W383" i="8"/>
  <c r="W382" i="8"/>
  <c r="W381" i="8"/>
  <c r="W380" i="8"/>
  <c r="W379" i="8"/>
  <c r="W378" i="8"/>
  <c r="W377" i="8"/>
  <c r="W376" i="8"/>
  <c r="W375" i="8"/>
  <c r="W374" i="8"/>
  <c r="W373" i="8"/>
  <c r="W372" i="8"/>
  <c r="W371" i="8"/>
  <c r="W370" i="8"/>
  <c r="W369" i="8"/>
  <c r="W368" i="8"/>
  <c r="W367" i="8"/>
  <c r="W366" i="8"/>
  <c r="W365" i="8"/>
  <c r="W364" i="8"/>
  <c r="W363" i="8"/>
  <c r="W362" i="8"/>
  <c r="W361" i="8"/>
  <c r="W360" i="8"/>
  <c r="W359" i="8"/>
  <c r="W358" i="8"/>
  <c r="W357" i="8"/>
  <c r="W356" i="8"/>
  <c r="W355" i="8"/>
  <c r="W354" i="8"/>
  <c r="W353" i="8"/>
  <c r="W352" i="8"/>
  <c r="W351" i="8"/>
  <c r="W350" i="8"/>
  <c r="W349" i="8"/>
  <c r="W348" i="8"/>
  <c r="W347" i="8"/>
  <c r="W346" i="8"/>
  <c r="W345" i="8"/>
  <c r="W344" i="8"/>
  <c r="W343" i="8"/>
  <c r="W342" i="8"/>
  <c r="W341" i="8"/>
  <c r="W340" i="8"/>
  <c r="W339" i="8"/>
  <c r="W338" i="8"/>
  <c r="W337" i="8"/>
  <c r="W336" i="8"/>
  <c r="W335" i="8"/>
  <c r="W334" i="8"/>
  <c r="W333" i="8"/>
  <c r="W332" i="8"/>
  <c r="W331" i="8"/>
  <c r="W330" i="8"/>
  <c r="W329" i="8"/>
  <c r="W328" i="8"/>
  <c r="W327" i="8"/>
  <c r="W326" i="8"/>
  <c r="W325" i="8"/>
  <c r="W324" i="8"/>
  <c r="W323" i="8"/>
  <c r="W322" i="8"/>
  <c r="W321" i="8"/>
  <c r="W320" i="8"/>
  <c r="W319" i="8"/>
  <c r="W318" i="8"/>
  <c r="W317" i="8"/>
  <c r="W316" i="8"/>
  <c r="W315" i="8"/>
  <c r="W314" i="8"/>
  <c r="W313" i="8"/>
  <c r="W312" i="8"/>
  <c r="W311" i="8"/>
  <c r="W310" i="8"/>
  <c r="W309" i="8"/>
  <c r="W308" i="8"/>
  <c r="W307" i="8"/>
  <c r="W306" i="8"/>
  <c r="W305" i="8"/>
  <c r="W304" i="8"/>
  <c r="W303" i="8"/>
  <c r="W302" i="8"/>
  <c r="W301" i="8"/>
  <c r="W300" i="8"/>
  <c r="W299" i="8"/>
  <c r="W298" i="8"/>
  <c r="W297" i="8"/>
  <c r="W296" i="8"/>
  <c r="W295" i="8"/>
  <c r="W294" i="8"/>
  <c r="W293" i="8"/>
  <c r="W292" i="8"/>
  <c r="W291" i="8"/>
  <c r="W290" i="8"/>
  <c r="W289" i="8"/>
  <c r="W288" i="8"/>
  <c r="W287" i="8"/>
  <c r="W286" i="8"/>
  <c r="W285" i="8"/>
  <c r="W284" i="8"/>
  <c r="W283" i="8"/>
  <c r="W282" i="8"/>
  <c r="W281" i="8"/>
  <c r="W280" i="8"/>
  <c r="W279" i="8"/>
  <c r="W278" i="8"/>
  <c r="W277" i="8"/>
  <c r="W276" i="8"/>
  <c r="W275" i="8"/>
  <c r="W274" i="8"/>
  <c r="W273" i="8"/>
  <c r="W272" i="8"/>
  <c r="W271" i="8"/>
  <c r="W270" i="8"/>
  <c r="W269" i="8"/>
  <c r="W268" i="8"/>
  <c r="W267" i="8"/>
  <c r="W266" i="8"/>
  <c r="W265" i="8"/>
  <c r="W264" i="8"/>
  <c r="W263" i="8"/>
  <c r="W262" i="8"/>
  <c r="W261" i="8"/>
  <c r="W260" i="8"/>
  <c r="W259" i="8"/>
  <c r="W258" i="8"/>
  <c r="W257" i="8"/>
  <c r="W256" i="8"/>
  <c r="W255" i="8"/>
  <c r="W254" i="8"/>
  <c r="W253" i="8"/>
  <c r="W252" i="8"/>
  <c r="W251" i="8"/>
  <c r="W250" i="8"/>
  <c r="W249" i="8"/>
  <c r="W248" i="8"/>
  <c r="W247" i="8"/>
  <c r="W246" i="8"/>
  <c r="W245" i="8"/>
  <c r="W244" i="8"/>
  <c r="W243" i="8"/>
  <c r="W242" i="8"/>
  <c r="W241" i="8"/>
  <c r="W240" i="8"/>
  <c r="W239" i="8"/>
  <c r="W238" i="8"/>
  <c r="W237" i="8"/>
  <c r="W236" i="8"/>
  <c r="W235" i="8"/>
  <c r="W234" i="8"/>
  <c r="W233" i="8"/>
  <c r="W232" i="8"/>
  <c r="W231" i="8"/>
  <c r="W230" i="8"/>
  <c r="W229" i="8"/>
  <c r="W228" i="8"/>
  <c r="W227" i="8"/>
  <c r="W226" i="8"/>
  <c r="W225" i="8"/>
  <c r="W224" i="8"/>
  <c r="W223" i="8"/>
  <c r="W222" i="8"/>
  <c r="W221" i="8"/>
  <c r="W220" i="8"/>
  <c r="W219" i="8"/>
  <c r="W218" i="8"/>
  <c r="W217" i="8"/>
  <c r="W216" i="8"/>
  <c r="W215" i="8"/>
  <c r="W214" i="8"/>
  <c r="W213" i="8"/>
  <c r="W212" i="8"/>
  <c r="W211" i="8"/>
  <c r="W210" i="8"/>
  <c r="W209" i="8"/>
  <c r="W208" i="8"/>
  <c r="W207" i="8"/>
  <c r="W206" i="8"/>
  <c r="W205" i="8"/>
  <c r="W204" i="8"/>
  <c r="W203" i="8"/>
  <c r="W202" i="8"/>
  <c r="W201" i="8"/>
  <c r="W200" i="8"/>
  <c r="W199" i="8"/>
  <c r="W198" i="8"/>
  <c r="W197" i="8"/>
  <c r="W196" i="8"/>
  <c r="W195" i="8"/>
  <c r="W194" i="8"/>
  <c r="W193" i="8"/>
  <c r="W192" i="8"/>
  <c r="W191" i="8"/>
  <c r="W190" i="8"/>
  <c r="W189" i="8"/>
  <c r="W188" i="8"/>
  <c r="W187" i="8"/>
  <c r="W186" i="8"/>
  <c r="W185" i="8"/>
  <c r="W184" i="8"/>
  <c r="W183" i="8"/>
  <c r="W182" i="8"/>
  <c r="W181" i="8"/>
  <c r="W180" i="8"/>
  <c r="W179" i="8"/>
  <c r="W178" i="8"/>
  <c r="W177" i="8"/>
  <c r="W176" i="8"/>
  <c r="W175" i="8"/>
  <c r="W174" i="8"/>
  <c r="W173" i="8"/>
  <c r="W172" i="8"/>
  <c r="W171" i="8"/>
  <c r="W170" i="8"/>
  <c r="W169" i="8"/>
  <c r="W168" i="8"/>
  <c r="W167" i="8"/>
  <c r="W166" i="8"/>
  <c r="W165" i="8"/>
  <c r="W164" i="8"/>
  <c r="W163" i="8"/>
  <c r="W162" i="8"/>
  <c r="W161" i="8"/>
  <c r="W160" i="8"/>
  <c r="W159"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W124" i="8"/>
  <c r="W123" i="8"/>
  <c r="W122" i="8"/>
  <c r="W121" i="8"/>
  <c r="W120" i="8"/>
  <c r="W119" i="8"/>
  <c r="W118" i="8"/>
  <c r="W117" i="8"/>
  <c r="W116" i="8"/>
  <c r="W115" i="8"/>
  <c r="W114" i="8"/>
  <c r="W113" i="8"/>
  <c r="W112" i="8"/>
  <c r="W111" i="8"/>
  <c r="W110" i="8"/>
  <c r="W109" i="8"/>
  <c r="W108" i="8"/>
  <c r="W107" i="8"/>
  <c r="W106" i="8"/>
  <c r="W105" i="8"/>
  <c r="W104" i="8"/>
  <c r="W103" i="8"/>
  <c r="W102" i="8"/>
  <c r="W101" i="8"/>
  <c r="W100" i="8"/>
  <c r="W99" i="8"/>
  <c r="W98" i="8"/>
  <c r="W97" i="8"/>
  <c r="W96" i="8"/>
  <c r="W95" i="8"/>
  <c r="W94" i="8"/>
  <c r="W93" i="8"/>
  <c r="W92" i="8"/>
  <c r="W91" i="8"/>
  <c r="W90" i="8"/>
  <c r="W89" i="8"/>
  <c r="W88" i="8"/>
  <c r="W87" i="8"/>
  <c r="W86" i="8"/>
  <c r="W85" i="8"/>
  <c r="W84" i="8"/>
  <c r="W83" i="8"/>
  <c r="W82" i="8"/>
  <c r="W81" i="8"/>
  <c r="W80" i="8"/>
  <c r="W79" i="8"/>
  <c r="W78" i="8"/>
  <c r="W77" i="8"/>
  <c r="W76" i="8"/>
  <c r="W75" i="8"/>
  <c r="W74" i="8"/>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O514" i="8"/>
  <c r="P514" i="8" s="1"/>
  <c r="O513" i="8"/>
  <c r="P513" i="8" s="1"/>
  <c r="O512" i="8"/>
  <c r="P512" i="8" s="1"/>
  <c r="P511" i="8"/>
  <c r="O511" i="8"/>
  <c r="O510" i="8"/>
  <c r="P510" i="8" s="1"/>
  <c r="O509" i="8"/>
  <c r="P509" i="8" s="1"/>
  <c r="O508" i="8"/>
  <c r="P508" i="8" s="1"/>
  <c r="O507" i="8"/>
  <c r="P507" i="8" s="1"/>
  <c r="O506" i="8"/>
  <c r="P506" i="8" s="1"/>
  <c r="O505" i="8"/>
  <c r="P505" i="8" s="1"/>
  <c r="O504" i="8"/>
  <c r="P504" i="8" s="1"/>
  <c r="O503" i="8"/>
  <c r="P503" i="8" s="1"/>
  <c r="O502" i="8"/>
  <c r="P502" i="8" s="1"/>
  <c r="O501" i="8"/>
  <c r="P501" i="8" s="1"/>
  <c r="O500" i="8"/>
  <c r="P500" i="8" s="1"/>
  <c r="O499" i="8"/>
  <c r="P499" i="8" s="1"/>
  <c r="O498" i="8"/>
  <c r="P498" i="8" s="1"/>
  <c r="O497" i="8"/>
  <c r="P497" i="8" s="1"/>
  <c r="O496" i="8"/>
  <c r="P496" i="8" s="1"/>
  <c r="P495" i="8"/>
  <c r="O495" i="8"/>
  <c r="O494" i="8"/>
  <c r="P494" i="8" s="1"/>
  <c r="O493" i="8"/>
  <c r="P493" i="8" s="1"/>
  <c r="O492" i="8"/>
  <c r="P492" i="8" s="1"/>
  <c r="O491" i="8"/>
  <c r="P491" i="8" s="1"/>
  <c r="O490" i="8"/>
  <c r="P490" i="8" s="1"/>
  <c r="O489" i="8"/>
  <c r="P489" i="8" s="1"/>
  <c r="O488" i="8"/>
  <c r="P488" i="8" s="1"/>
  <c r="O487" i="8"/>
  <c r="P487" i="8" s="1"/>
  <c r="O486" i="8"/>
  <c r="P486" i="8" s="1"/>
  <c r="O485" i="8"/>
  <c r="P485" i="8" s="1"/>
  <c r="O484" i="8"/>
  <c r="P484" i="8" s="1"/>
  <c r="O483" i="8"/>
  <c r="P483" i="8" s="1"/>
  <c r="O482" i="8"/>
  <c r="P482" i="8" s="1"/>
  <c r="O481" i="8"/>
  <c r="P481" i="8" s="1"/>
  <c r="O480" i="8"/>
  <c r="P480" i="8" s="1"/>
  <c r="P479" i="8"/>
  <c r="O479" i="8"/>
  <c r="O478" i="8"/>
  <c r="P478" i="8" s="1"/>
  <c r="O477" i="8"/>
  <c r="P477" i="8" s="1"/>
  <c r="O476" i="8"/>
  <c r="P476" i="8" s="1"/>
  <c r="P475" i="8"/>
  <c r="O475" i="8"/>
  <c r="O474" i="8"/>
  <c r="P474" i="8" s="1"/>
  <c r="O473" i="8"/>
  <c r="P473" i="8" s="1"/>
  <c r="O472" i="8"/>
  <c r="P472" i="8" s="1"/>
  <c r="O471" i="8"/>
  <c r="P471" i="8" s="1"/>
  <c r="O470" i="8"/>
  <c r="P470" i="8" s="1"/>
  <c r="P469" i="8"/>
  <c r="O469" i="8"/>
  <c r="O468" i="8"/>
  <c r="P468" i="8" s="1"/>
  <c r="P467" i="8"/>
  <c r="O467" i="8"/>
  <c r="O466" i="8"/>
  <c r="P466" i="8" s="1"/>
  <c r="P465" i="8"/>
  <c r="O465" i="8"/>
  <c r="O464" i="8"/>
  <c r="P464" i="8" s="1"/>
  <c r="O463" i="8"/>
  <c r="P463" i="8" s="1"/>
  <c r="O462" i="8"/>
  <c r="P462" i="8" s="1"/>
  <c r="P461" i="8"/>
  <c r="O461" i="8"/>
  <c r="O460" i="8"/>
  <c r="P460" i="8" s="1"/>
  <c r="P459" i="8"/>
  <c r="O459" i="8"/>
  <c r="O458" i="8"/>
  <c r="P458" i="8" s="1"/>
  <c r="P457" i="8"/>
  <c r="O457" i="8"/>
  <c r="O456" i="8"/>
  <c r="P456" i="8" s="1"/>
  <c r="O455" i="8"/>
  <c r="P455" i="8" s="1"/>
  <c r="O454" i="8"/>
  <c r="P454" i="8" s="1"/>
  <c r="P453" i="8"/>
  <c r="O453" i="8"/>
  <c r="O452" i="8"/>
  <c r="P452" i="8" s="1"/>
  <c r="P451" i="8"/>
  <c r="O451" i="8"/>
  <c r="O450" i="8"/>
  <c r="P450" i="8" s="1"/>
  <c r="P449" i="8"/>
  <c r="O449" i="8"/>
  <c r="O448" i="8"/>
  <c r="P448" i="8" s="1"/>
  <c r="O447" i="8"/>
  <c r="P447" i="8" s="1"/>
  <c r="O446" i="8"/>
  <c r="P446" i="8" s="1"/>
  <c r="P445" i="8"/>
  <c r="O445" i="8"/>
  <c r="O444" i="8"/>
  <c r="P444" i="8" s="1"/>
  <c r="P443" i="8"/>
  <c r="O443" i="8"/>
  <c r="O442" i="8"/>
  <c r="P442" i="8" s="1"/>
  <c r="P441" i="8"/>
  <c r="O441" i="8"/>
  <c r="O440" i="8"/>
  <c r="P440" i="8" s="1"/>
  <c r="O439" i="8"/>
  <c r="P439" i="8" s="1"/>
  <c r="O438" i="8"/>
  <c r="P438" i="8" s="1"/>
  <c r="P437" i="8"/>
  <c r="O437" i="8"/>
  <c r="O436" i="8"/>
  <c r="P436" i="8" s="1"/>
  <c r="P435" i="8"/>
  <c r="O435" i="8"/>
  <c r="O434" i="8"/>
  <c r="P434" i="8" s="1"/>
  <c r="P433" i="8"/>
  <c r="O433" i="8"/>
  <c r="O432" i="8"/>
  <c r="P432" i="8" s="1"/>
  <c r="O431" i="8"/>
  <c r="P431" i="8" s="1"/>
  <c r="O430" i="8"/>
  <c r="P430" i="8" s="1"/>
  <c r="P429" i="8"/>
  <c r="O429" i="8"/>
  <c r="O428" i="8"/>
  <c r="P428" i="8" s="1"/>
  <c r="P427" i="8"/>
  <c r="O427" i="8"/>
  <c r="O426" i="8"/>
  <c r="P426" i="8" s="1"/>
  <c r="P425" i="8"/>
  <c r="O425" i="8"/>
  <c r="O424" i="8"/>
  <c r="P424" i="8" s="1"/>
  <c r="O423" i="8"/>
  <c r="P423" i="8" s="1"/>
  <c r="O422" i="8"/>
  <c r="P422" i="8" s="1"/>
  <c r="P421" i="8"/>
  <c r="O421" i="8"/>
  <c r="O420" i="8"/>
  <c r="P420" i="8" s="1"/>
  <c r="P419" i="8"/>
  <c r="O419" i="8"/>
  <c r="O418" i="8"/>
  <c r="P418" i="8" s="1"/>
  <c r="P417" i="8"/>
  <c r="O417" i="8"/>
  <c r="O416" i="8"/>
  <c r="P416" i="8" s="1"/>
  <c r="O415" i="8"/>
  <c r="P415" i="8" s="1"/>
  <c r="O414" i="8"/>
  <c r="P414" i="8" s="1"/>
  <c r="P413" i="8"/>
  <c r="O413" i="8"/>
  <c r="O412" i="8"/>
  <c r="P412" i="8" s="1"/>
  <c r="P411" i="8"/>
  <c r="O411" i="8"/>
  <c r="O410" i="8"/>
  <c r="P410" i="8" s="1"/>
  <c r="P409" i="8"/>
  <c r="O409" i="8"/>
  <c r="O408" i="8"/>
  <c r="P408" i="8" s="1"/>
  <c r="O407" i="8"/>
  <c r="P407" i="8" s="1"/>
  <c r="O406" i="8"/>
  <c r="P406" i="8" s="1"/>
  <c r="P405" i="8"/>
  <c r="O405" i="8"/>
  <c r="O404" i="8"/>
  <c r="P404" i="8" s="1"/>
  <c r="P403" i="8"/>
  <c r="O403" i="8"/>
  <c r="O402" i="8"/>
  <c r="P402" i="8" s="1"/>
  <c r="P401" i="8"/>
  <c r="O401" i="8"/>
  <c r="O400" i="8"/>
  <c r="P400" i="8" s="1"/>
  <c r="O399" i="8"/>
  <c r="P399" i="8" s="1"/>
  <c r="O398" i="8"/>
  <c r="P398" i="8" s="1"/>
  <c r="P397" i="8"/>
  <c r="O397" i="8"/>
  <c r="O396" i="8"/>
  <c r="P396" i="8" s="1"/>
  <c r="P395" i="8"/>
  <c r="O395" i="8"/>
  <c r="O394" i="8"/>
  <c r="P394" i="8" s="1"/>
  <c r="P393" i="8"/>
  <c r="O393" i="8"/>
  <c r="O392" i="8"/>
  <c r="P392" i="8" s="1"/>
  <c r="O391" i="8"/>
  <c r="P391" i="8" s="1"/>
  <c r="O390" i="8"/>
  <c r="P390" i="8" s="1"/>
  <c r="P389" i="8"/>
  <c r="O389" i="8"/>
  <c r="O388" i="8"/>
  <c r="P388" i="8" s="1"/>
  <c r="P387" i="8"/>
  <c r="O387" i="8"/>
  <c r="O386" i="8"/>
  <c r="P386" i="8" s="1"/>
  <c r="P385" i="8"/>
  <c r="O385" i="8"/>
  <c r="O384" i="8"/>
  <c r="P384" i="8" s="1"/>
  <c r="O383" i="8"/>
  <c r="P383" i="8" s="1"/>
  <c r="O382" i="8"/>
  <c r="P382" i="8" s="1"/>
  <c r="P381" i="8"/>
  <c r="O381" i="8"/>
  <c r="O380" i="8"/>
  <c r="P380" i="8" s="1"/>
  <c r="P379" i="8"/>
  <c r="O379" i="8"/>
  <c r="O378" i="8"/>
  <c r="P378" i="8" s="1"/>
  <c r="P377" i="8"/>
  <c r="O377" i="8"/>
  <c r="O376" i="8"/>
  <c r="P376" i="8" s="1"/>
  <c r="O375" i="8"/>
  <c r="P375" i="8" s="1"/>
  <c r="O374" i="8"/>
  <c r="P374" i="8" s="1"/>
  <c r="P373" i="8"/>
  <c r="O373" i="8"/>
  <c r="O372" i="8"/>
  <c r="P372" i="8" s="1"/>
  <c r="P371" i="8"/>
  <c r="O371" i="8"/>
  <c r="O370" i="8"/>
  <c r="P370" i="8" s="1"/>
  <c r="P369" i="8"/>
  <c r="O369" i="8"/>
  <c r="O368" i="8"/>
  <c r="P368" i="8" s="1"/>
  <c r="O367" i="8"/>
  <c r="P367" i="8" s="1"/>
  <c r="O366" i="8"/>
  <c r="P366" i="8" s="1"/>
  <c r="P365" i="8"/>
  <c r="O365" i="8"/>
  <c r="O364" i="8"/>
  <c r="P364" i="8" s="1"/>
  <c r="P363" i="8"/>
  <c r="O363" i="8"/>
  <c r="O362" i="8"/>
  <c r="P362" i="8" s="1"/>
  <c r="P361" i="8"/>
  <c r="O361" i="8"/>
  <c r="O360" i="8"/>
  <c r="P360" i="8" s="1"/>
  <c r="O359" i="8"/>
  <c r="P359" i="8" s="1"/>
  <c r="O358" i="8"/>
  <c r="P358" i="8" s="1"/>
  <c r="P357" i="8"/>
  <c r="O357" i="8"/>
  <c r="O356" i="8"/>
  <c r="P356" i="8" s="1"/>
  <c r="P355" i="8"/>
  <c r="O355" i="8"/>
  <c r="O354" i="8"/>
  <c r="P354" i="8" s="1"/>
  <c r="P353" i="8"/>
  <c r="O353" i="8"/>
  <c r="O352" i="8"/>
  <c r="P352" i="8" s="1"/>
  <c r="O351" i="8"/>
  <c r="P351" i="8" s="1"/>
  <c r="O350" i="8"/>
  <c r="P350" i="8" s="1"/>
  <c r="P349" i="8"/>
  <c r="O349" i="8"/>
  <c r="O348" i="8"/>
  <c r="P348" i="8" s="1"/>
  <c r="P347" i="8"/>
  <c r="O347" i="8"/>
  <c r="O346" i="8"/>
  <c r="P346" i="8" s="1"/>
  <c r="P345" i="8"/>
  <c r="O345" i="8"/>
  <c r="O344" i="8"/>
  <c r="P344" i="8" s="1"/>
  <c r="O343" i="8"/>
  <c r="P343" i="8" s="1"/>
  <c r="O342" i="8"/>
  <c r="P342" i="8" s="1"/>
  <c r="P341" i="8"/>
  <c r="O341" i="8"/>
  <c r="O340" i="8"/>
  <c r="P340" i="8" s="1"/>
  <c r="P339" i="8"/>
  <c r="O339" i="8"/>
  <c r="O338" i="8"/>
  <c r="P338" i="8" s="1"/>
  <c r="P337" i="8"/>
  <c r="O337" i="8"/>
  <c r="O336" i="8"/>
  <c r="P336" i="8" s="1"/>
  <c r="O335" i="8"/>
  <c r="P335" i="8" s="1"/>
  <c r="O334" i="8"/>
  <c r="P334" i="8" s="1"/>
  <c r="P333" i="8"/>
  <c r="O333" i="8"/>
  <c r="O332" i="8"/>
  <c r="P332" i="8" s="1"/>
  <c r="P331" i="8"/>
  <c r="O331" i="8"/>
  <c r="O330" i="8"/>
  <c r="P330" i="8" s="1"/>
  <c r="P329" i="8"/>
  <c r="O329" i="8"/>
  <c r="O328" i="8"/>
  <c r="P328" i="8" s="1"/>
  <c r="O327" i="8"/>
  <c r="P327" i="8" s="1"/>
  <c r="O326" i="8"/>
  <c r="P326" i="8" s="1"/>
  <c r="P325" i="8"/>
  <c r="O325" i="8"/>
  <c r="O324" i="8"/>
  <c r="P324" i="8" s="1"/>
  <c r="P323" i="8"/>
  <c r="O323" i="8"/>
  <c r="O322" i="8"/>
  <c r="P322" i="8" s="1"/>
  <c r="P321" i="8"/>
  <c r="O321" i="8"/>
  <c r="O320" i="8"/>
  <c r="P320" i="8" s="1"/>
  <c r="O319" i="8"/>
  <c r="P319" i="8" s="1"/>
  <c r="O318" i="8"/>
  <c r="P318" i="8" s="1"/>
  <c r="P317" i="8"/>
  <c r="O317" i="8"/>
  <c r="O316" i="8"/>
  <c r="P316" i="8" s="1"/>
  <c r="P315" i="8"/>
  <c r="O315" i="8"/>
  <c r="O314" i="8"/>
  <c r="P314" i="8" s="1"/>
  <c r="P313" i="8"/>
  <c r="O313" i="8"/>
  <c r="O312" i="8"/>
  <c r="P312" i="8" s="1"/>
  <c r="O311" i="8"/>
  <c r="P311" i="8" s="1"/>
  <c r="O310" i="8"/>
  <c r="P310" i="8" s="1"/>
  <c r="P309" i="8"/>
  <c r="O309" i="8"/>
  <c r="O308" i="8"/>
  <c r="P308" i="8" s="1"/>
  <c r="P307" i="8"/>
  <c r="O307" i="8"/>
  <c r="O306" i="8"/>
  <c r="P306" i="8" s="1"/>
  <c r="P305" i="8"/>
  <c r="O305" i="8"/>
  <c r="O304" i="8"/>
  <c r="P304" i="8" s="1"/>
  <c r="O303" i="8"/>
  <c r="P303" i="8" s="1"/>
  <c r="O302" i="8"/>
  <c r="P302" i="8" s="1"/>
  <c r="P301" i="8"/>
  <c r="O301" i="8"/>
  <c r="O300" i="8"/>
  <c r="P300" i="8" s="1"/>
  <c r="P299" i="8"/>
  <c r="O299" i="8"/>
  <c r="O298" i="8"/>
  <c r="P298" i="8" s="1"/>
  <c r="P297" i="8"/>
  <c r="O297" i="8"/>
  <c r="O296" i="8"/>
  <c r="P296" i="8" s="1"/>
  <c r="O295" i="8"/>
  <c r="P295" i="8" s="1"/>
  <c r="O294" i="8"/>
  <c r="P294" i="8" s="1"/>
  <c r="P293" i="8"/>
  <c r="O293" i="8"/>
  <c r="O292" i="8"/>
  <c r="P292" i="8" s="1"/>
  <c r="O291" i="8"/>
  <c r="P291" i="8" s="1"/>
  <c r="O290" i="8"/>
  <c r="P290" i="8" s="1"/>
  <c r="P289" i="8"/>
  <c r="O289" i="8"/>
  <c r="O288" i="8"/>
  <c r="P288" i="8" s="1"/>
  <c r="O287" i="8"/>
  <c r="P287" i="8" s="1"/>
  <c r="O286" i="8"/>
  <c r="P286" i="8" s="1"/>
  <c r="P285" i="8"/>
  <c r="O285" i="8"/>
  <c r="O284" i="8"/>
  <c r="P284" i="8" s="1"/>
  <c r="P283" i="8"/>
  <c r="O283" i="8"/>
  <c r="O282" i="8"/>
  <c r="P282" i="8" s="1"/>
  <c r="P281" i="8"/>
  <c r="O281" i="8"/>
  <c r="O280" i="8"/>
  <c r="P280" i="8" s="1"/>
  <c r="P279" i="8"/>
  <c r="O279" i="8"/>
  <c r="O278" i="8"/>
  <c r="P278" i="8" s="1"/>
  <c r="P277" i="8"/>
  <c r="O277" i="8"/>
  <c r="O276" i="8"/>
  <c r="P276" i="8" s="1"/>
  <c r="O275" i="8"/>
  <c r="P275" i="8" s="1"/>
  <c r="O274" i="8"/>
  <c r="P274" i="8" s="1"/>
  <c r="P273" i="8"/>
  <c r="O273" i="8"/>
  <c r="O272" i="8"/>
  <c r="P272" i="8" s="1"/>
  <c r="O271" i="8"/>
  <c r="P271" i="8" s="1"/>
  <c r="O270" i="8"/>
  <c r="P270" i="8" s="1"/>
  <c r="P269" i="8"/>
  <c r="O269" i="8"/>
  <c r="O268" i="8"/>
  <c r="P268" i="8" s="1"/>
  <c r="P267" i="8"/>
  <c r="O267" i="8"/>
  <c r="O266" i="8"/>
  <c r="P266" i="8" s="1"/>
  <c r="P265" i="8"/>
  <c r="O265" i="8"/>
  <c r="O264" i="8"/>
  <c r="P264" i="8" s="1"/>
  <c r="O263" i="8"/>
  <c r="P263" i="8" s="1"/>
  <c r="O262" i="8"/>
  <c r="P262" i="8" s="1"/>
  <c r="P261" i="8"/>
  <c r="O261" i="8"/>
  <c r="O260" i="8"/>
  <c r="P260" i="8" s="1"/>
  <c r="O259" i="8"/>
  <c r="P259" i="8" s="1"/>
  <c r="O258" i="8"/>
  <c r="P258" i="8" s="1"/>
  <c r="P257" i="8"/>
  <c r="O257" i="8"/>
  <c r="O256" i="8"/>
  <c r="P256" i="8" s="1"/>
  <c r="P255" i="8"/>
  <c r="O255" i="8"/>
  <c r="O254" i="8"/>
  <c r="P254" i="8" s="1"/>
  <c r="P253" i="8"/>
  <c r="O253" i="8"/>
  <c r="O252" i="8"/>
  <c r="P252" i="8" s="1"/>
  <c r="P251" i="8"/>
  <c r="O251" i="8"/>
  <c r="O250" i="8"/>
  <c r="P250" i="8" s="1"/>
  <c r="P249" i="8"/>
  <c r="O249" i="8"/>
  <c r="O248" i="8"/>
  <c r="P248" i="8" s="1"/>
  <c r="O247" i="8"/>
  <c r="P247" i="8" s="1"/>
  <c r="O246" i="8"/>
  <c r="P246" i="8" s="1"/>
  <c r="P245" i="8"/>
  <c r="O245" i="8"/>
  <c r="O244" i="8"/>
  <c r="P244" i="8" s="1"/>
  <c r="O243" i="8"/>
  <c r="P243" i="8" s="1"/>
  <c r="O242" i="8"/>
  <c r="P242" i="8" s="1"/>
  <c r="P241" i="8"/>
  <c r="O241" i="8"/>
  <c r="O240" i="8"/>
  <c r="P240" i="8" s="1"/>
  <c r="P239" i="8"/>
  <c r="O239" i="8"/>
  <c r="O238" i="8"/>
  <c r="P238" i="8" s="1"/>
  <c r="P237" i="8"/>
  <c r="O237" i="8"/>
  <c r="O236" i="8"/>
  <c r="P236" i="8" s="1"/>
  <c r="P235" i="8"/>
  <c r="O235" i="8"/>
  <c r="O234" i="8"/>
  <c r="P234" i="8" s="1"/>
  <c r="P233" i="8"/>
  <c r="O233" i="8"/>
  <c r="O232" i="8"/>
  <c r="P232" i="8" s="1"/>
  <c r="O231" i="8"/>
  <c r="P231" i="8" s="1"/>
  <c r="O230" i="8"/>
  <c r="P230" i="8" s="1"/>
  <c r="P229" i="8"/>
  <c r="O229" i="8"/>
  <c r="O228" i="8"/>
  <c r="P228" i="8" s="1"/>
  <c r="O227" i="8"/>
  <c r="P227" i="8" s="1"/>
  <c r="O226" i="8"/>
  <c r="P226" i="8" s="1"/>
  <c r="P225" i="8"/>
  <c r="O225" i="8"/>
  <c r="O224" i="8"/>
  <c r="P224" i="8" s="1"/>
  <c r="P223" i="8"/>
  <c r="O223" i="8"/>
  <c r="O222" i="8"/>
  <c r="P222" i="8" s="1"/>
  <c r="P221" i="8"/>
  <c r="O221" i="8"/>
  <c r="O220" i="8"/>
  <c r="P220" i="8" s="1"/>
  <c r="P219" i="8"/>
  <c r="O219" i="8"/>
  <c r="O218" i="8"/>
  <c r="P218" i="8" s="1"/>
  <c r="P217" i="8"/>
  <c r="O217" i="8"/>
  <c r="O216" i="8"/>
  <c r="P216" i="8" s="1"/>
  <c r="O215" i="8"/>
  <c r="P215" i="8" s="1"/>
  <c r="O214" i="8"/>
  <c r="P214" i="8" s="1"/>
  <c r="P213" i="8"/>
  <c r="O213" i="8"/>
  <c r="O212" i="8"/>
  <c r="P212" i="8" s="1"/>
  <c r="O211" i="8"/>
  <c r="P211" i="8" s="1"/>
  <c r="O210" i="8"/>
  <c r="P210" i="8" s="1"/>
  <c r="P209" i="8"/>
  <c r="O209" i="8"/>
  <c r="O208" i="8"/>
  <c r="P208" i="8" s="1"/>
  <c r="P207" i="8"/>
  <c r="O207" i="8"/>
  <c r="O206" i="8"/>
  <c r="P206" i="8" s="1"/>
  <c r="P205" i="8"/>
  <c r="O205" i="8"/>
  <c r="O204" i="8"/>
  <c r="P204" i="8" s="1"/>
  <c r="P203" i="8"/>
  <c r="O203" i="8"/>
  <c r="O202" i="8"/>
  <c r="P202" i="8" s="1"/>
  <c r="P201" i="8"/>
  <c r="O201" i="8"/>
  <c r="O200" i="8"/>
  <c r="P200" i="8" s="1"/>
  <c r="O199" i="8"/>
  <c r="P199" i="8" s="1"/>
  <c r="O198" i="8"/>
  <c r="P198" i="8" s="1"/>
  <c r="P197" i="8"/>
  <c r="O197" i="8"/>
  <c r="O196" i="8"/>
  <c r="P196" i="8" s="1"/>
  <c r="O195" i="8"/>
  <c r="P195" i="8" s="1"/>
  <c r="O194" i="8"/>
  <c r="P194" i="8" s="1"/>
  <c r="P193" i="8"/>
  <c r="O193" i="8"/>
  <c r="O192" i="8"/>
  <c r="P192" i="8" s="1"/>
  <c r="O191" i="8"/>
  <c r="P191" i="8" s="1"/>
  <c r="O190" i="8"/>
  <c r="P190" i="8" s="1"/>
  <c r="P189" i="8"/>
  <c r="O189" i="8"/>
  <c r="O188" i="8"/>
  <c r="P188" i="8" s="1"/>
  <c r="P187" i="8"/>
  <c r="O187" i="8"/>
  <c r="O186" i="8"/>
  <c r="P186" i="8" s="1"/>
  <c r="P185" i="8"/>
  <c r="O185" i="8"/>
  <c r="O184" i="8"/>
  <c r="P184" i="8" s="1"/>
  <c r="P183" i="8"/>
  <c r="O183" i="8"/>
  <c r="O182" i="8"/>
  <c r="P182" i="8" s="1"/>
  <c r="P181" i="8"/>
  <c r="O181" i="8"/>
  <c r="O180" i="8"/>
  <c r="P180" i="8" s="1"/>
  <c r="O179" i="8"/>
  <c r="P179" i="8" s="1"/>
  <c r="O178" i="8"/>
  <c r="P178" i="8" s="1"/>
  <c r="P177" i="8"/>
  <c r="O177" i="8"/>
  <c r="O176" i="8"/>
  <c r="P176" i="8" s="1"/>
  <c r="O175" i="8"/>
  <c r="P175" i="8" s="1"/>
  <c r="O174" i="8"/>
  <c r="P174" i="8" s="1"/>
  <c r="O173" i="8"/>
  <c r="P173" i="8" s="1"/>
  <c r="P172" i="8"/>
  <c r="O172" i="8"/>
  <c r="O171" i="8"/>
  <c r="P171" i="8" s="1"/>
  <c r="O170" i="8"/>
  <c r="P170" i="8" s="1"/>
  <c r="O169" i="8"/>
  <c r="P169" i="8" s="1"/>
  <c r="P168" i="8"/>
  <c r="O168" i="8"/>
  <c r="O167" i="8"/>
  <c r="P167" i="8" s="1"/>
  <c r="O166" i="8"/>
  <c r="P166" i="8" s="1"/>
  <c r="O165" i="8"/>
  <c r="P165" i="8" s="1"/>
  <c r="P164" i="8"/>
  <c r="O164" i="8"/>
  <c r="O163" i="8"/>
  <c r="P163" i="8" s="1"/>
  <c r="O162" i="8"/>
  <c r="P162" i="8" s="1"/>
  <c r="O161" i="8"/>
  <c r="P161" i="8" s="1"/>
  <c r="P160" i="8"/>
  <c r="O160" i="8"/>
  <c r="O159" i="8"/>
  <c r="P159" i="8" s="1"/>
  <c r="O158" i="8"/>
  <c r="P158" i="8" s="1"/>
  <c r="O157" i="8"/>
  <c r="P157" i="8" s="1"/>
  <c r="P156" i="8"/>
  <c r="O156" i="8"/>
  <c r="O155" i="8"/>
  <c r="P155" i="8" s="1"/>
  <c r="O154" i="8"/>
  <c r="P154" i="8" s="1"/>
  <c r="O153" i="8"/>
  <c r="P153" i="8" s="1"/>
  <c r="P152" i="8"/>
  <c r="O152" i="8"/>
  <c r="O151" i="8"/>
  <c r="P151" i="8" s="1"/>
  <c r="O150" i="8"/>
  <c r="P150" i="8" s="1"/>
  <c r="O149" i="8"/>
  <c r="P149" i="8" s="1"/>
  <c r="P148" i="8"/>
  <c r="O148" i="8"/>
  <c r="O147" i="8"/>
  <c r="P147" i="8" s="1"/>
  <c r="O146" i="8"/>
  <c r="P146" i="8" s="1"/>
  <c r="O145" i="8"/>
  <c r="P145" i="8" s="1"/>
  <c r="P144" i="8"/>
  <c r="O144" i="8"/>
  <c r="O143" i="8"/>
  <c r="P143" i="8" s="1"/>
  <c r="O142" i="8"/>
  <c r="P142" i="8" s="1"/>
  <c r="O141" i="8"/>
  <c r="P141" i="8" s="1"/>
  <c r="P140" i="8"/>
  <c r="O140" i="8"/>
  <c r="O139" i="8"/>
  <c r="P139" i="8" s="1"/>
  <c r="O138" i="8"/>
  <c r="P138" i="8" s="1"/>
  <c r="O137" i="8"/>
  <c r="P137" i="8" s="1"/>
  <c r="P136" i="8"/>
  <c r="O136" i="8"/>
  <c r="O135" i="8"/>
  <c r="P135" i="8" s="1"/>
  <c r="O134" i="8"/>
  <c r="P134" i="8" s="1"/>
  <c r="O133" i="8"/>
  <c r="P133" i="8" s="1"/>
  <c r="P132" i="8"/>
  <c r="O132" i="8"/>
  <c r="O131" i="8"/>
  <c r="P131" i="8" s="1"/>
  <c r="O130" i="8"/>
  <c r="P130" i="8" s="1"/>
  <c r="O129" i="8"/>
  <c r="P129" i="8" s="1"/>
  <c r="P128" i="8"/>
  <c r="O128" i="8"/>
  <c r="O127" i="8"/>
  <c r="P127" i="8" s="1"/>
  <c r="O126" i="8"/>
  <c r="P126" i="8" s="1"/>
  <c r="O125" i="8"/>
  <c r="P125" i="8" s="1"/>
  <c r="P124" i="8"/>
  <c r="O124" i="8"/>
  <c r="O123" i="8"/>
  <c r="P123" i="8" s="1"/>
  <c r="O122" i="8"/>
  <c r="P122" i="8" s="1"/>
  <c r="O121" i="8"/>
  <c r="P121" i="8" s="1"/>
  <c r="P120" i="8"/>
  <c r="O120" i="8"/>
  <c r="O119" i="8"/>
  <c r="P119" i="8" s="1"/>
  <c r="O118" i="8"/>
  <c r="P118" i="8" s="1"/>
  <c r="O117" i="8"/>
  <c r="P117" i="8" s="1"/>
  <c r="P116" i="8"/>
  <c r="O116" i="8"/>
  <c r="O115" i="8"/>
  <c r="P115" i="8" s="1"/>
  <c r="O114" i="8"/>
  <c r="P114" i="8" s="1"/>
  <c r="P113" i="8"/>
  <c r="O113" i="8"/>
  <c r="P112" i="8"/>
  <c r="O112" i="8"/>
  <c r="O111" i="8"/>
  <c r="P111" i="8" s="1"/>
  <c r="O110" i="8"/>
  <c r="P110" i="8" s="1"/>
  <c r="O109" i="8"/>
  <c r="P109" i="8" s="1"/>
  <c r="P108" i="8"/>
  <c r="O108" i="8"/>
  <c r="O107" i="8"/>
  <c r="P107" i="8" s="1"/>
  <c r="O106" i="8"/>
  <c r="P106" i="8" s="1"/>
  <c r="O105" i="8"/>
  <c r="P105" i="8" s="1"/>
  <c r="P104" i="8"/>
  <c r="O104" i="8"/>
  <c r="O103" i="8"/>
  <c r="P103" i="8" s="1"/>
  <c r="O102" i="8"/>
  <c r="P102" i="8" s="1"/>
  <c r="O101" i="8"/>
  <c r="P101" i="8" s="1"/>
  <c r="P100" i="8"/>
  <c r="O100" i="8"/>
  <c r="O99" i="8"/>
  <c r="P99" i="8" s="1"/>
  <c r="O98" i="8"/>
  <c r="P98" i="8" s="1"/>
  <c r="P97" i="8"/>
  <c r="O97" i="8"/>
  <c r="P96" i="8"/>
  <c r="O96" i="8"/>
  <c r="O95" i="8"/>
  <c r="P95" i="8" s="1"/>
  <c r="O94" i="8"/>
  <c r="P94" i="8" s="1"/>
  <c r="O93" i="8"/>
  <c r="P93" i="8" s="1"/>
  <c r="P92" i="8"/>
  <c r="O92" i="8"/>
  <c r="O91" i="8"/>
  <c r="P91" i="8" s="1"/>
  <c r="O90" i="8"/>
  <c r="P90" i="8" s="1"/>
  <c r="O89" i="8"/>
  <c r="P89" i="8" s="1"/>
  <c r="P88" i="8"/>
  <c r="O88" i="8"/>
  <c r="O87" i="8"/>
  <c r="P87" i="8" s="1"/>
  <c r="O86" i="8"/>
  <c r="P86" i="8" s="1"/>
  <c r="O85" i="8"/>
  <c r="P85" i="8" s="1"/>
  <c r="P84" i="8"/>
  <c r="O84" i="8"/>
  <c r="O83" i="8"/>
  <c r="P83" i="8" s="1"/>
  <c r="O82" i="8"/>
  <c r="P82" i="8" s="1"/>
  <c r="P81" i="8"/>
  <c r="O81" i="8"/>
  <c r="P80" i="8"/>
  <c r="O80" i="8"/>
  <c r="O79" i="8"/>
  <c r="P79" i="8" s="1"/>
  <c r="O78" i="8"/>
  <c r="P78" i="8" s="1"/>
  <c r="O77" i="8"/>
  <c r="P77" i="8" s="1"/>
  <c r="P76" i="8"/>
  <c r="O76" i="8"/>
  <c r="O75" i="8"/>
  <c r="P75" i="8" s="1"/>
  <c r="O74" i="8"/>
  <c r="P74" i="8" s="1"/>
  <c r="O73" i="8"/>
  <c r="P73" i="8" s="1"/>
  <c r="P72" i="8"/>
  <c r="O72" i="8"/>
  <c r="O71" i="8"/>
  <c r="P71" i="8" s="1"/>
  <c r="O70" i="8"/>
  <c r="P70" i="8" s="1"/>
  <c r="O69" i="8"/>
  <c r="P69" i="8" s="1"/>
  <c r="P68" i="8"/>
  <c r="O68" i="8"/>
  <c r="O67" i="8"/>
  <c r="P67" i="8" s="1"/>
  <c r="O66" i="8"/>
  <c r="P66" i="8" s="1"/>
  <c r="O65" i="8"/>
  <c r="P65" i="8" s="1"/>
  <c r="P64" i="8"/>
  <c r="O64" i="8"/>
  <c r="O63" i="8"/>
  <c r="P63" i="8" s="1"/>
  <c r="O62" i="8"/>
  <c r="P62" i="8" s="1"/>
  <c r="O61" i="8"/>
  <c r="P61" i="8" s="1"/>
  <c r="P60" i="8"/>
  <c r="O60" i="8"/>
  <c r="O59" i="8"/>
  <c r="P59" i="8" s="1"/>
  <c r="O58" i="8"/>
  <c r="P58" i="8" s="1"/>
  <c r="O57" i="8"/>
  <c r="P57" i="8" s="1"/>
  <c r="P56" i="8"/>
  <c r="O56" i="8"/>
  <c r="O55" i="8"/>
  <c r="P55" i="8" s="1"/>
  <c r="O54" i="8"/>
  <c r="P54" i="8" s="1"/>
  <c r="O53" i="8"/>
  <c r="P53" i="8" s="1"/>
  <c r="P52" i="8"/>
  <c r="O52" i="8"/>
  <c r="O51" i="8"/>
  <c r="P51" i="8" s="1"/>
  <c r="O50" i="8"/>
  <c r="P50" i="8" s="1"/>
  <c r="O49" i="8"/>
  <c r="P49" i="8" s="1"/>
  <c r="P48" i="8"/>
  <c r="O48" i="8"/>
  <c r="O47" i="8"/>
  <c r="P47" i="8" s="1"/>
  <c r="O46" i="8"/>
  <c r="P46" i="8" s="1"/>
  <c r="O45" i="8"/>
  <c r="P45" i="8" s="1"/>
  <c r="P44" i="8"/>
  <c r="O44" i="8"/>
  <c r="O43" i="8"/>
  <c r="P43" i="8" s="1"/>
  <c r="O42" i="8"/>
  <c r="P42" i="8" s="1"/>
  <c r="O41" i="8"/>
  <c r="P41" i="8" s="1"/>
  <c r="P40" i="8"/>
  <c r="O40" i="8"/>
  <c r="O39" i="8"/>
  <c r="P39" i="8" s="1"/>
  <c r="O38" i="8"/>
  <c r="P38" i="8" s="1"/>
  <c r="O37" i="8"/>
  <c r="P37" i="8" s="1"/>
  <c r="P36" i="8"/>
  <c r="O36" i="8"/>
  <c r="O35" i="8"/>
  <c r="P35" i="8" s="1"/>
  <c r="O34" i="8"/>
  <c r="P34" i="8" s="1"/>
  <c r="O33" i="8"/>
  <c r="P33" i="8" s="1"/>
  <c r="P32" i="8"/>
  <c r="O32" i="8"/>
  <c r="O31" i="8"/>
  <c r="P31" i="8" s="1"/>
  <c r="O30" i="8"/>
  <c r="P30" i="8" s="1"/>
  <c r="O29" i="8"/>
  <c r="P29" i="8" s="1"/>
  <c r="P28" i="8"/>
  <c r="O28" i="8"/>
  <c r="O27" i="8"/>
  <c r="P27" i="8" s="1"/>
  <c r="O26" i="8"/>
  <c r="P26" i="8" s="1"/>
  <c r="P25" i="8"/>
  <c r="O25" i="8"/>
  <c r="P24" i="8"/>
  <c r="O24" i="8"/>
  <c r="O23" i="8"/>
  <c r="P23" i="8" s="1"/>
  <c r="O22" i="8"/>
  <c r="P22" i="8" s="1"/>
  <c r="O21" i="8"/>
  <c r="P21" i="8" s="1"/>
  <c r="P20" i="8"/>
  <c r="O20" i="8"/>
  <c r="O19" i="8"/>
  <c r="P19" i="8" s="1"/>
  <c r="O18" i="8"/>
  <c r="P18" i="8" s="1"/>
  <c r="O17" i="8"/>
  <c r="P17" i="8" s="1"/>
  <c r="P16" i="8"/>
  <c r="O16" i="8"/>
  <c r="W514" i="7"/>
  <c r="W513" i="7"/>
  <c r="W512" i="7"/>
  <c r="W511" i="7"/>
  <c r="W510" i="7"/>
  <c r="W509" i="7"/>
  <c r="W508" i="7"/>
  <c r="W507" i="7"/>
  <c r="W506" i="7"/>
  <c r="W505" i="7"/>
  <c r="W504" i="7"/>
  <c r="W503" i="7"/>
  <c r="W502" i="7"/>
  <c r="W501" i="7"/>
  <c r="W500" i="7"/>
  <c r="W499" i="7"/>
  <c r="W498" i="7"/>
  <c r="W497" i="7"/>
  <c r="W496" i="7"/>
  <c r="W495" i="7"/>
  <c r="W494" i="7"/>
  <c r="W493" i="7"/>
  <c r="W492" i="7"/>
  <c r="W491" i="7"/>
  <c r="W490" i="7"/>
  <c r="W489" i="7"/>
  <c r="W488" i="7"/>
  <c r="W487" i="7"/>
  <c r="W486" i="7"/>
  <c r="W485" i="7"/>
  <c r="W484" i="7"/>
  <c r="W483" i="7"/>
  <c r="W482" i="7"/>
  <c r="W481" i="7"/>
  <c r="W480" i="7"/>
  <c r="W479" i="7"/>
  <c r="W478" i="7"/>
  <c r="W477" i="7"/>
  <c r="W476" i="7"/>
  <c r="W475" i="7"/>
  <c r="W474" i="7"/>
  <c r="W473" i="7"/>
  <c r="W472" i="7"/>
  <c r="W471" i="7"/>
  <c r="W470" i="7"/>
  <c r="W469" i="7"/>
  <c r="W468" i="7"/>
  <c r="W467" i="7"/>
  <c r="W466" i="7"/>
  <c r="W465" i="7"/>
  <c r="W464" i="7"/>
  <c r="W463" i="7"/>
  <c r="W462" i="7"/>
  <c r="W461" i="7"/>
  <c r="W460" i="7"/>
  <c r="W459" i="7"/>
  <c r="W458" i="7"/>
  <c r="W457" i="7"/>
  <c r="W456" i="7"/>
  <c r="W455" i="7"/>
  <c r="W454" i="7"/>
  <c r="W453" i="7"/>
  <c r="W452" i="7"/>
  <c r="W451" i="7"/>
  <c r="W450" i="7"/>
  <c r="W449" i="7"/>
  <c r="W448" i="7"/>
  <c r="W447" i="7"/>
  <c r="W446" i="7"/>
  <c r="W445" i="7"/>
  <c r="W444" i="7"/>
  <c r="W443" i="7"/>
  <c r="W442" i="7"/>
  <c r="W441" i="7"/>
  <c r="W440" i="7"/>
  <c r="W439" i="7"/>
  <c r="W438" i="7"/>
  <c r="W437" i="7"/>
  <c r="W436" i="7"/>
  <c r="W435" i="7"/>
  <c r="W434" i="7"/>
  <c r="W433" i="7"/>
  <c r="W432" i="7"/>
  <c r="W431" i="7"/>
  <c r="W430" i="7"/>
  <c r="W429" i="7"/>
  <c r="W428" i="7"/>
  <c r="W427" i="7"/>
  <c r="W426" i="7"/>
  <c r="W425" i="7"/>
  <c r="W424" i="7"/>
  <c r="W423" i="7"/>
  <c r="W422" i="7"/>
  <c r="W421" i="7"/>
  <c r="W420" i="7"/>
  <c r="W419" i="7"/>
  <c r="W418" i="7"/>
  <c r="W417" i="7"/>
  <c r="W416" i="7"/>
  <c r="W415" i="7"/>
  <c r="W414" i="7"/>
  <c r="W413" i="7"/>
  <c r="W412" i="7"/>
  <c r="W411" i="7"/>
  <c r="W410" i="7"/>
  <c r="W409" i="7"/>
  <c r="W408" i="7"/>
  <c r="W407" i="7"/>
  <c r="W406" i="7"/>
  <c r="W405" i="7"/>
  <c r="W404" i="7"/>
  <c r="W403" i="7"/>
  <c r="W402" i="7"/>
  <c r="W401" i="7"/>
  <c r="W400" i="7"/>
  <c r="W399" i="7"/>
  <c r="W398" i="7"/>
  <c r="W397" i="7"/>
  <c r="W396" i="7"/>
  <c r="W395" i="7"/>
  <c r="W394" i="7"/>
  <c r="W393" i="7"/>
  <c r="W392" i="7"/>
  <c r="W391" i="7"/>
  <c r="W390" i="7"/>
  <c r="W389" i="7"/>
  <c r="W388" i="7"/>
  <c r="W387" i="7"/>
  <c r="W386" i="7"/>
  <c r="W385" i="7"/>
  <c r="W384" i="7"/>
  <c r="W383" i="7"/>
  <c r="W382" i="7"/>
  <c r="W381" i="7"/>
  <c r="W380" i="7"/>
  <c r="W379" i="7"/>
  <c r="W378" i="7"/>
  <c r="W377" i="7"/>
  <c r="W376" i="7"/>
  <c r="W375" i="7"/>
  <c r="W374" i="7"/>
  <c r="W373" i="7"/>
  <c r="W372" i="7"/>
  <c r="W371" i="7"/>
  <c r="W370" i="7"/>
  <c r="W369" i="7"/>
  <c r="W368" i="7"/>
  <c r="W367" i="7"/>
  <c r="W366" i="7"/>
  <c r="W365" i="7"/>
  <c r="W364" i="7"/>
  <c r="W363" i="7"/>
  <c r="W362" i="7"/>
  <c r="W361" i="7"/>
  <c r="W360" i="7"/>
  <c r="W359" i="7"/>
  <c r="W358" i="7"/>
  <c r="W357" i="7"/>
  <c r="W356" i="7"/>
  <c r="W355" i="7"/>
  <c r="W354" i="7"/>
  <c r="W353" i="7"/>
  <c r="W352" i="7"/>
  <c r="W351" i="7"/>
  <c r="W350" i="7"/>
  <c r="W349" i="7"/>
  <c r="W348" i="7"/>
  <c r="W347" i="7"/>
  <c r="W346" i="7"/>
  <c r="W345" i="7"/>
  <c r="W344" i="7"/>
  <c r="W343" i="7"/>
  <c r="W342" i="7"/>
  <c r="W341" i="7"/>
  <c r="W340" i="7"/>
  <c r="W339" i="7"/>
  <c r="W338" i="7"/>
  <c r="W337" i="7"/>
  <c r="W336" i="7"/>
  <c r="W335" i="7"/>
  <c r="W334" i="7"/>
  <c r="W333" i="7"/>
  <c r="W332" i="7"/>
  <c r="W331" i="7"/>
  <c r="W330" i="7"/>
  <c r="W329" i="7"/>
  <c r="W328" i="7"/>
  <c r="W327" i="7"/>
  <c r="W326" i="7"/>
  <c r="W325" i="7"/>
  <c r="W324" i="7"/>
  <c r="W323" i="7"/>
  <c r="W322" i="7"/>
  <c r="W321" i="7"/>
  <c r="W320" i="7"/>
  <c r="W319" i="7"/>
  <c r="W318" i="7"/>
  <c r="W317" i="7"/>
  <c r="W316" i="7"/>
  <c r="W315" i="7"/>
  <c r="W314" i="7"/>
  <c r="W313" i="7"/>
  <c r="W312" i="7"/>
  <c r="W311" i="7"/>
  <c r="W310" i="7"/>
  <c r="W309" i="7"/>
  <c r="W308" i="7"/>
  <c r="W307" i="7"/>
  <c r="W306" i="7"/>
  <c r="W305" i="7"/>
  <c r="W304" i="7"/>
  <c r="W303" i="7"/>
  <c r="W302" i="7"/>
  <c r="W301" i="7"/>
  <c r="W300" i="7"/>
  <c r="W299" i="7"/>
  <c r="W298" i="7"/>
  <c r="W297" i="7"/>
  <c r="W296" i="7"/>
  <c r="W295" i="7"/>
  <c r="W294" i="7"/>
  <c r="W293" i="7"/>
  <c r="W292" i="7"/>
  <c r="W291" i="7"/>
  <c r="W290" i="7"/>
  <c r="W289" i="7"/>
  <c r="W288" i="7"/>
  <c r="W287" i="7"/>
  <c r="W286" i="7"/>
  <c r="W285" i="7"/>
  <c r="W284" i="7"/>
  <c r="W283" i="7"/>
  <c r="W282" i="7"/>
  <c r="W281" i="7"/>
  <c r="W280" i="7"/>
  <c r="W279" i="7"/>
  <c r="W278" i="7"/>
  <c r="W277" i="7"/>
  <c r="W276" i="7"/>
  <c r="W275" i="7"/>
  <c r="W274" i="7"/>
  <c r="W273" i="7"/>
  <c r="W272" i="7"/>
  <c r="W271" i="7"/>
  <c r="W270" i="7"/>
  <c r="W269" i="7"/>
  <c r="W268" i="7"/>
  <c r="W267" i="7"/>
  <c r="W266" i="7"/>
  <c r="W265" i="7"/>
  <c r="W264" i="7"/>
  <c r="W263" i="7"/>
  <c r="W262" i="7"/>
  <c r="W261" i="7"/>
  <c r="W260" i="7"/>
  <c r="W259" i="7"/>
  <c r="W258" i="7"/>
  <c r="W257" i="7"/>
  <c r="W256" i="7"/>
  <c r="W255" i="7"/>
  <c r="W254" i="7"/>
  <c r="W253" i="7"/>
  <c r="W252" i="7"/>
  <c r="W251" i="7"/>
  <c r="W250" i="7"/>
  <c r="W249" i="7"/>
  <c r="W248" i="7"/>
  <c r="W247" i="7"/>
  <c r="W246" i="7"/>
  <c r="W245" i="7"/>
  <c r="W244" i="7"/>
  <c r="W243" i="7"/>
  <c r="W242" i="7"/>
  <c r="W241" i="7"/>
  <c r="W240" i="7"/>
  <c r="W239" i="7"/>
  <c r="W238" i="7"/>
  <c r="W237" i="7"/>
  <c r="W236" i="7"/>
  <c r="W235" i="7"/>
  <c r="W234" i="7"/>
  <c r="W233" i="7"/>
  <c r="W232" i="7"/>
  <c r="W231" i="7"/>
  <c r="W230" i="7"/>
  <c r="W229" i="7"/>
  <c r="W228" i="7"/>
  <c r="W227" i="7"/>
  <c r="W226" i="7"/>
  <c r="W225" i="7"/>
  <c r="W224" i="7"/>
  <c r="W223" i="7"/>
  <c r="W222" i="7"/>
  <c r="W221" i="7"/>
  <c r="W220" i="7"/>
  <c r="W219" i="7"/>
  <c r="W218" i="7"/>
  <c r="W217" i="7"/>
  <c r="W216" i="7"/>
  <c r="W215" i="7"/>
  <c r="W214" i="7"/>
  <c r="W213" i="7"/>
  <c r="W212" i="7"/>
  <c r="W211" i="7"/>
  <c r="W210" i="7"/>
  <c r="W209" i="7"/>
  <c r="W208" i="7"/>
  <c r="W207" i="7"/>
  <c r="W206" i="7"/>
  <c r="W205" i="7"/>
  <c r="W204" i="7"/>
  <c r="W203" i="7"/>
  <c r="W202" i="7"/>
  <c r="W201" i="7"/>
  <c r="W200" i="7"/>
  <c r="W199" i="7"/>
  <c r="W198" i="7"/>
  <c r="W197" i="7"/>
  <c r="W196" i="7"/>
  <c r="W195" i="7"/>
  <c r="W194" i="7"/>
  <c r="W193" i="7"/>
  <c r="W192" i="7"/>
  <c r="W191" i="7"/>
  <c r="W190" i="7"/>
  <c r="W189" i="7"/>
  <c r="W188" i="7"/>
  <c r="W187" i="7"/>
  <c r="W186" i="7"/>
  <c r="W185" i="7"/>
  <c r="W184" i="7"/>
  <c r="W183" i="7"/>
  <c r="W182" i="7"/>
  <c r="W181" i="7"/>
  <c r="W180" i="7"/>
  <c r="W179" i="7"/>
  <c r="W178" i="7"/>
  <c r="W177" i="7"/>
  <c r="W176" i="7"/>
  <c r="W175" i="7"/>
  <c r="W174" i="7"/>
  <c r="W173" i="7"/>
  <c r="W172" i="7"/>
  <c r="W171" i="7"/>
  <c r="W170" i="7"/>
  <c r="W169" i="7"/>
  <c r="W168" i="7"/>
  <c r="W167" i="7"/>
  <c r="W166" i="7"/>
  <c r="W165" i="7"/>
  <c r="W164" i="7"/>
  <c r="W163" i="7"/>
  <c r="W162" i="7"/>
  <c r="W161" i="7"/>
  <c r="W160" i="7"/>
  <c r="W159" i="7"/>
  <c r="W158" i="7"/>
  <c r="W157" i="7"/>
  <c r="W156" i="7"/>
  <c r="W155" i="7"/>
  <c r="W154" i="7"/>
  <c r="W153" i="7"/>
  <c r="W152" i="7"/>
  <c r="W151" i="7"/>
  <c r="W150" i="7"/>
  <c r="W149" i="7"/>
  <c r="W148" i="7"/>
  <c r="W147" i="7"/>
  <c r="W146" i="7"/>
  <c r="W145" i="7"/>
  <c r="W144" i="7"/>
  <c r="W143" i="7"/>
  <c r="W142" i="7"/>
  <c r="W141" i="7"/>
  <c r="W140" i="7"/>
  <c r="W139" i="7"/>
  <c r="W138" i="7"/>
  <c r="W137" i="7"/>
  <c r="W136" i="7"/>
  <c r="W135" i="7"/>
  <c r="W134" i="7"/>
  <c r="W133" i="7"/>
  <c r="W132" i="7"/>
  <c r="W131" i="7"/>
  <c r="W130" i="7"/>
  <c r="W129" i="7"/>
  <c r="W128" i="7"/>
  <c r="W127" i="7"/>
  <c r="W126" i="7"/>
  <c r="W125" i="7"/>
  <c r="W124" i="7"/>
  <c r="W123" i="7"/>
  <c r="W122" i="7"/>
  <c r="W121" i="7"/>
  <c r="W120" i="7"/>
  <c r="W119" i="7"/>
  <c r="W118" i="7"/>
  <c r="W117" i="7"/>
  <c r="W116" i="7"/>
  <c r="W115" i="7"/>
  <c r="W114" i="7"/>
  <c r="W113" i="7"/>
  <c r="W112" i="7"/>
  <c r="W111" i="7"/>
  <c r="W110" i="7"/>
  <c r="W109" i="7"/>
  <c r="W108" i="7"/>
  <c r="W107" i="7"/>
  <c r="W106" i="7"/>
  <c r="W105" i="7"/>
  <c r="W104" i="7"/>
  <c r="W103" i="7"/>
  <c r="W102" i="7"/>
  <c r="W101" i="7"/>
  <c r="W100" i="7"/>
  <c r="W99" i="7"/>
  <c r="W98" i="7"/>
  <c r="W97" i="7"/>
  <c r="W96" i="7"/>
  <c r="W95" i="7"/>
  <c r="W94" i="7"/>
  <c r="W93" i="7"/>
  <c r="W92" i="7"/>
  <c r="W91" i="7"/>
  <c r="W90" i="7"/>
  <c r="W89" i="7"/>
  <c r="W88" i="7"/>
  <c r="W87" i="7"/>
  <c r="W86" i="7"/>
  <c r="W85" i="7"/>
  <c r="W84" i="7"/>
  <c r="W83" i="7"/>
  <c r="W82" i="7"/>
  <c r="W81" i="7"/>
  <c r="W80" i="7"/>
  <c r="W79" i="7"/>
  <c r="W78" i="7"/>
  <c r="W77" i="7"/>
  <c r="W76" i="7"/>
  <c r="W75" i="7"/>
  <c r="W74" i="7"/>
  <c r="W73" i="7"/>
  <c r="W72" i="7"/>
  <c r="W71" i="7"/>
  <c r="W70" i="7"/>
  <c r="W69" i="7"/>
  <c r="W68" i="7"/>
  <c r="W67" i="7"/>
  <c r="W66" i="7"/>
  <c r="W65" i="7"/>
  <c r="W64" i="7"/>
  <c r="W63" i="7"/>
  <c r="W62" i="7"/>
  <c r="W61" i="7"/>
  <c r="W60" i="7"/>
  <c r="W59" i="7"/>
  <c r="W58" i="7"/>
  <c r="W57" i="7"/>
  <c r="W56" i="7"/>
  <c r="W55" i="7"/>
  <c r="W54" i="7"/>
  <c r="W53" i="7"/>
  <c r="W52" i="7"/>
  <c r="W51" i="7"/>
  <c r="W50" i="7"/>
  <c r="W49" i="7"/>
  <c r="W48" i="7"/>
  <c r="W47" i="7"/>
  <c r="W46" i="7"/>
  <c r="W45" i="7"/>
  <c r="W44" i="7"/>
  <c r="W43" i="7"/>
  <c r="W42" i="7"/>
  <c r="W41" i="7"/>
  <c r="W40" i="7"/>
  <c r="W39" i="7"/>
  <c r="W38" i="7"/>
  <c r="W37" i="7"/>
  <c r="W36" i="7"/>
  <c r="W35" i="7"/>
  <c r="W34" i="7"/>
  <c r="W33" i="7"/>
  <c r="W32" i="7"/>
  <c r="W31" i="7"/>
  <c r="W30" i="7"/>
  <c r="W29" i="7"/>
  <c r="W28" i="7"/>
  <c r="W27" i="7"/>
  <c r="W26" i="7"/>
  <c r="W25" i="7"/>
  <c r="W24" i="7"/>
  <c r="W23" i="7"/>
  <c r="W22" i="7"/>
  <c r="W21" i="7"/>
  <c r="W20" i="7"/>
  <c r="W19" i="7"/>
  <c r="W18" i="7"/>
  <c r="W17" i="7"/>
  <c r="W16" i="7"/>
  <c r="P514" i="7"/>
  <c r="O514" i="7"/>
  <c r="O513" i="7"/>
  <c r="P513" i="7" s="1"/>
  <c r="O512" i="7"/>
  <c r="P512" i="7" s="1"/>
  <c r="O511" i="7"/>
  <c r="P511" i="7" s="1"/>
  <c r="P510" i="7"/>
  <c r="O510" i="7"/>
  <c r="O509" i="7"/>
  <c r="P509" i="7" s="1"/>
  <c r="O508" i="7"/>
  <c r="P508" i="7" s="1"/>
  <c r="O507" i="7"/>
  <c r="P507" i="7" s="1"/>
  <c r="P506" i="7"/>
  <c r="O506" i="7"/>
  <c r="O505" i="7"/>
  <c r="P505" i="7" s="1"/>
  <c r="O504" i="7"/>
  <c r="P504" i="7" s="1"/>
  <c r="O503" i="7"/>
  <c r="P503" i="7" s="1"/>
  <c r="P502" i="7"/>
  <c r="O502" i="7"/>
  <c r="O501" i="7"/>
  <c r="P501" i="7" s="1"/>
  <c r="O500" i="7"/>
  <c r="P500" i="7" s="1"/>
  <c r="O499" i="7"/>
  <c r="P499" i="7" s="1"/>
  <c r="P498" i="7"/>
  <c r="O498" i="7"/>
  <c r="O497" i="7"/>
  <c r="P497" i="7" s="1"/>
  <c r="O496" i="7"/>
  <c r="P496" i="7" s="1"/>
  <c r="O495" i="7"/>
  <c r="P495" i="7" s="1"/>
  <c r="P494" i="7"/>
  <c r="O494" i="7"/>
  <c r="O493" i="7"/>
  <c r="P493" i="7" s="1"/>
  <c r="O492" i="7"/>
  <c r="P492" i="7" s="1"/>
  <c r="O491" i="7"/>
  <c r="P491" i="7" s="1"/>
  <c r="P490" i="7"/>
  <c r="O490" i="7"/>
  <c r="O489" i="7"/>
  <c r="P489" i="7" s="1"/>
  <c r="O488" i="7"/>
  <c r="P488" i="7" s="1"/>
  <c r="O487" i="7"/>
  <c r="P487" i="7" s="1"/>
  <c r="P486" i="7"/>
  <c r="O486" i="7"/>
  <c r="O485" i="7"/>
  <c r="P485" i="7" s="1"/>
  <c r="O484" i="7"/>
  <c r="P484" i="7" s="1"/>
  <c r="O483" i="7"/>
  <c r="P483" i="7" s="1"/>
  <c r="P482" i="7"/>
  <c r="O482" i="7"/>
  <c r="O481" i="7"/>
  <c r="P481" i="7" s="1"/>
  <c r="O480" i="7"/>
  <c r="P480" i="7" s="1"/>
  <c r="O479" i="7"/>
  <c r="P479" i="7" s="1"/>
  <c r="P478" i="7"/>
  <c r="O478" i="7"/>
  <c r="O477" i="7"/>
  <c r="P477" i="7" s="1"/>
  <c r="O476" i="7"/>
  <c r="P476" i="7" s="1"/>
  <c r="O475" i="7"/>
  <c r="P475" i="7" s="1"/>
  <c r="P474" i="7"/>
  <c r="O474" i="7"/>
  <c r="O473" i="7"/>
  <c r="P473" i="7" s="1"/>
  <c r="O472" i="7"/>
  <c r="P472" i="7" s="1"/>
  <c r="O471" i="7"/>
  <c r="P471" i="7" s="1"/>
  <c r="P470" i="7"/>
  <c r="O470" i="7"/>
  <c r="O469" i="7"/>
  <c r="P469" i="7" s="1"/>
  <c r="O468" i="7"/>
  <c r="P468" i="7" s="1"/>
  <c r="O467" i="7"/>
  <c r="P467" i="7" s="1"/>
  <c r="P466" i="7"/>
  <c r="O466" i="7"/>
  <c r="O465" i="7"/>
  <c r="P465" i="7" s="1"/>
  <c r="O464" i="7"/>
  <c r="P464" i="7" s="1"/>
  <c r="O463" i="7"/>
  <c r="P463" i="7" s="1"/>
  <c r="P462" i="7"/>
  <c r="O462" i="7"/>
  <c r="O461" i="7"/>
  <c r="P461" i="7" s="1"/>
  <c r="O460" i="7"/>
  <c r="P460" i="7" s="1"/>
  <c r="O459" i="7"/>
  <c r="P459" i="7" s="1"/>
  <c r="P458" i="7"/>
  <c r="O458" i="7"/>
  <c r="O457" i="7"/>
  <c r="P457" i="7" s="1"/>
  <c r="O456" i="7"/>
  <c r="P456" i="7" s="1"/>
  <c r="O455" i="7"/>
  <c r="P455" i="7" s="1"/>
  <c r="P454" i="7"/>
  <c r="O454" i="7"/>
  <c r="O453" i="7"/>
  <c r="P453" i="7" s="1"/>
  <c r="O452" i="7"/>
  <c r="P452" i="7" s="1"/>
  <c r="O451" i="7"/>
  <c r="P451" i="7" s="1"/>
  <c r="P450" i="7"/>
  <c r="O450" i="7"/>
  <c r="O449" i="7"/>
  <c r="P449" i="7" s="1"/>
  <c r="O448" i="7"/>
  <c r="P448" i="7" s="1"/>
  <c r="O447" i="7"/>
  <c r="P447" i="7" s="1"/>
  <c r="P446" i="7"/>
  <c r="O446" i="7"/>
  <c r="O445" i="7"/>
  <c r="P445" i="7" s="1"/>
  <c r="O444" i="7"/>
  <c r="P444" i="7" s="1"/>
  <c r="O443" i="7"/>
  <c r="P443" i="7" s="1"/>
  <c r="P442" i="7"/>
  <c r="O442" i="7"/>
  <c r="O441" i="7"/>
  <c r="P441" i="7" s="1"/>
  <c r="O440" i="7"/>
  <c r="P440" i="7" s="1"/>
  <c r="O439" i="7"/>
  <c r="P439" i="7" s="1"/>
  <c r="P438" i="7"/>
  <c r="O438" i="7"/>
  <c r="O437" i="7"/>
  <c r="P437" i="7" s="1"/>
  <c r="O436" i="7"/>
  <c r="P436" i="7" s="1"/>
  <c r="O435" i="7"/>
  <c r="P435" i="7" s="1"/>
  <c r="P434" i="7"/>
  <c r="O434" i="7"/>
  <c r="O433" i="7"/>
  <c r="P433" i="7" s="1"/>
  <c r="O432" i="7"/>
  <c r="P432" i="7" s="1"/>
  <c r="O431" i="7"/>
  <c r="P431" i="7" s="1"/>
  <c r="P430" i="7"/>
  <c r="O430" i="7"/>
  <c r="O429" i="7"/>
  <c r="P429" i="7" s="1"/>
  <c r="O428" i="7"/>
  <c r="P428" i="7" s="1"/>
  <c r="O427" i="7"/>
  <c r="P427" i="7" s="1"/>
  <c r="P426" i="7"/>
  <c r="O426" i="7"/>
  <c r="O425" i="7"/>
  <c r="P425" i="7" s="1"/>
  <c r="O424" i="7"/>
  <c r="P424" i="7" s="1"/>
  <c r="O423" i="7"/>
  <c r="P423" i="7" s="1"/>
  <c r="P422" i="7"/>
  <c r="O422" i="7"/>
  <c r="O421" i="7"/>
  <c r="P421" i="7" s="1"/>
  <c r="O420" i="7"/>
  <c r="P420" i="7" s="1"/>
  <c r="O419" i="7"/>
  <c r="P419" i="7" s="1"/>
  <c r="P418" i="7"/>
  <c r="O418" i="7"/>
  <c r="O417" i="7"/>
  <c r="P417" i="7" s="1"/>
  <c r="O416" i="7"/>
  <c r="P416" i="7" s="1"/>
  <c r="O415" i="7"/>
  <c r="P415" i="7" s="1"/>
  <c r="P414" i="7"/>
  <c r="O414" i="7"/>
  <c r="O413" i="7"/>
  <c r="P413" i="7" s="1"/>
  <c r="O412" i="7"/>
  <c r="P412" i="7" s="1"/>
  <c r="O411" i="7"/>
  <c r="P411" i="7" s="1"/>
  <c r="P410" i="7"/>
  <c r="O410" i="7"/>
  <c r="O409" i="7"/>
  <c r="P409" i="7" s="1"/>
  <c r="O408" i="7"/>
  <c r="P408" i="7" s="1"/>
  <c r="O407" i="7"/>
  <c r="P407" i="7" s="1"/>
  <c r="P406" i="7"/>
  <c r="O406" i="7"/>
  <c r="O405" i="7"/>
  <c r="P405" i="7" s="1"/>
  <c r="O404" i="7"/>
  <c r="P404" i="7" s="1"/>
  <c r="O403" i="7"/>
  <c r="P403" i="7" s="1"/>
  <c r="P402" i="7"/>
  <c r="O402" i="7"/>
  <c r="O401" i="7"/>
  <c r="P401" i="7" s="1"/>
  <c r="O400" i="7"/>
  <c r="P400" i="7" s="1"/>
  <c r="O399" i="7"/>
  <c r="P399" i="7" s="1"/>
  <c r="P398" i="7"/>
  <c r="O398" i="7"/>
  <c r="O397" i="7"/>
  <c r="P397" i="7" s="1"/>
  <c r="O396" i="7"/>
  <c r="P396" i="7" s="1"/>
  <c r="O395" i="7"/>
  <c r="P395" i="7" s="1"/>
  <c r="P394" i="7"/>
  <c r="O394" i="7"/>
  <c r="O393" i="7"/>
  <c r="P393" i="7" s="1"/>
  <c r="O392" i="7"/>
  <c r="P392" i="7" s="1"/>
  <c r="O391" i="7"/>
  <c r="P391" i="7" s="1"/>
  <c r="P390" i="7"/>
  <c r="O390" i="7"/>
  <c r="O389" i="7"/>
  <c r="P389" i="7" s="1"/>
  <c r="O388" i="7"/>
  <c r="P388" i="7" s="1"/>
  <c r="O387" i="7"/>
  <c r="P387" i="7" s="1"/>
  <c r="P386" i="7"/>
  <c r="O386" i="7"/>
  <c r="O385" i="7"/>
  <c r="P385" i="7" s="1"/>
  <c r="O384" i="7"/>
  <c r="P384" i="7" s="1"/>
  <c r="O383" i="7"/>
  <c r="P383" i="7" s="1"/>
  <c r="P382" i="7"/>
  <c r="O382" i="7"/>
  <c r="O381" i="7"/>
  <c r="P381" i="7" s="1"/>
  <c r="O380" i="7"/>
  <c r="P380" i="7" s="1"/>
  <c r="O379" i="7"/>
  <c r="P379" i="7" s="1"/>
  <c r="P378" i="7"/>
  <c r="O378" i="7"/>
  <c r="O377" i="7"/>
  <c r="P377" i="7" s="1"/>
  <c r="O376" i="7"/>
  <c r="P376" i="7" s="1"/>
  <c r="O375" i="7"/>
  <c r="P375" i="7" s="1"/>
  <c r="P374" i="7"/>
  <c r="O374" i="7"/>
  <c r="O373" i="7"/>
  <c r="P373" i="7" s="1"/>
  <c r="O372" i="7"/>
  <c r="P372" i="7" s="1"/>
  <c r="O371" i="7"/>
  <c r="P371" i="7" s="1"/>
  <c r="P370" i="7"/>
  <c r="O370" i="7"/>
  <c r="O369" i="7"/>
  <c r="P369" i="7" s="1"/>
  <c r="O368" i="7"/>
  <c r="P368" i="7" s="1"/>
  <c r="O367" i="7"/>
  <c r="P367" i="7" s="1"/>
  <c r="P366" i="7"/>
  <c r="O366" i="7"/>
  <c r="O365" i="7"/>
  <c r="P365" i="7" s="1"/>
  <c r="O364" i="7"/>
  <c r="P364" i="7" s="1"/>
  <c r="O363" i="7"/>
  <c r="P363" i="7" s="1"/>
  <c r="P362" i="7"/>
  <c r="O362" i="7"/>
  <c r="O361" i="7"/>
  <c r="P361" i="7" s="1"/>
  <c r="O360" i="7"/>
  <c r="P360" i="7" s="1"/>
  <c r="O359" i="7"/>
  <c r="P359" i="7" s="1"/>
  <c r="P358" i="7"/>
  <c r="O358" i="7"/>
  <c r="O357" i="7"/>
  <c r="P357" i="7" s="1"/>
  <c r="P356" i="7"/>
  <c r="O356" i="7"/>
  <c r="O355" i="7"/>
  <c r="P355" i="7" s="1"/>
  <c r="P354" i="7"/>
  <c r="O354" i="7"/>
  <c r="O353" i="7"/>
  <c r="P353" i="7" s="1"/>
  <c r="P352" i="7"/>
  <c r="O352" i="7"/>
  <c r="O351" i="7"/>
  <c r="P351" i="7" s="1"/>
  <c r="O350" i="7"/>
  <c r="P350" i="7" s="1"/>
  <c r="O349" i="7"/>
  <c r="P349" i="7" s="1"/>
  <c r="P348" i="7"/>
  <c r="O348" i="7"/>
  <c r="O347" i="7"/>
  <c r="P347" i="7" s="1"/>
  <c r="O346" i="7"/>
  <c r="P346" i="7" s="1"/>
  <c r="O345" i="7"/>
  <c r="P345" i="7" s="1"/>
  <c r="O344" i="7"/>
  <c r="P344" i="7" s="1"/>
  <c r="O343" i="7"/>
  <c r="P343" i="7" s="1"/>
  <c r="O342" i="7"/>
  <c r="P342" i="7" s="1"/>
  <c r="O341" i="7"/>
  <c r="P341" i="7" s="1"/>
  <c r="P340" i="7"/>
  <c r="O340" i="7"/>
  <c r="O339" i="7"/>
  <c r="P339" i="7" s="1"/>
  <c r="P338" i="7"/>
  <c r="O338" i="7"/>
  <c r="O337" i="7"/>
  <c r="P337" i="7" s="1"/>
  <c r="P336" i="7"/>
  <c r="O336" i="7"/>
  <c r="O335" i="7"/>
  <c r="P335" i="7" s="1"/>
  <c r="O334" i="7"/>
  <c r="P334" i="7" s="1"/>
  <c r="O333" i="7"/>
  <c r="P333" i="7" s="1"/>
  <c r="P332" i="7"/>
  <c r="O332" i="7"/>
  <c r="O331" i="7"/>
  <c r="P331" i="7" s="1"/>
  <c r="O330" i="7"/>
  <c r="P330" i="7" s="1"/>
  <c r="O329" i="7"/>
  <c r="P329" i="7" s="1"/>
  <c r="O328" i="7"/>
  <c r="P328" i="7" s="1"/>
  <c r="O327" i="7"/>
  <c r="P327" i="7" s="1"/>
  <c r="O326" i="7"/>
  <c r="P326" i="7" s="1"/>
  <c r="O325" i="7"/>
  <c r="P325" i="7" s="1"/>
  <c r="P324" i="7"/>
  <c r="O324" i="7"/>
  <c r="O323" i="7"/>
  <c r="P323" i="7" s="1"/>
  <c r="P322" i="7"/>
  <c r="O322" i="7"/>
  <c r="O321" i="7"/>
  <c r="P321" i="7" s="1"/>
  <c r="P320" i="7"/>
  <c r="O320" i="7"/>
  <c r="O319" i="7"/>
  <c r="P319" i="7" s="1"/>
  <c r="O318" i="7"/>
  <c r="P318" i="7" s="1"/>
  <c r="O317" i="7"/>
  <c r="P317" i="7" s="1"/>
  <c r="P316" i="7"/>
  <c r="O316" i="7"/>
  <c r="O315" i="7"/>
  <c r="P315" i="7" s="1"/>
  <c r="O314" i="7"/>
  <c r="P314" i="7" s="1"/>
  <c r="O313" i="7"/>
  <c r="P313" i="7" s="1"/>
  <c r="O312" i="7"/>
  <c r="P312" i="7" s="1"/>
  <c r="O311" i="7"/>
  <c r="P311" i="7" s="1"/>
  <c r="O310" i="7"/>
  <c r="P310" i="7" s="1"/>
  <c r="O309" i="7"/>
  <c r="P309" i="7" s="1"/>
  <c r="P308" i="7"/>
  <c r="O308" i="7"/>
  <c r="O307" i="7"/>
  <c r="P307" i="7" s="1"/>
  <c r="P306" i="7"/>
  <c r="O306" i="7"/>
  <c r="O305" i="7"/>
  <c r="P305" i="7" s="1"/>
  <c r="P304" i="7"/>
  <c r="O304" i="7"/>
  <c r="O303" i="7"/>
  <c r="P303" i="7" s="1"/>
  <c r="O302" i="7"/>
  <c r="P302" i="7" s="1"/>
  <c r="O301" i="7"/>
  <c r="P301" i="7" s="1"/>
  <c r="P300" i="7"/>
  <c r="O300" i="7"/>
  <c r="O299" i="7"/>
  <c r="P299" i="7" s="1"/>
  <c r="O298" i="7"/>
  <c r="P298" i="7" s="1"/>
  <c r="O297" i="7"/>
  <c r="P297" i="7" s="1"/>
  <c r="O296" i="7"/>
  <c r="P296" i="7" s="1"/>
  <c r="O295" i="7"/>
  <c r="P295" i="7" s="1"/>
  <c r="O294" i="7"/>
  <c r="P294" i="7" s="1"/>
  <c r="O293" i="7"/>
  <c r="P293" i="7" s="1"/>
  <c r="P292" i="7"/>
  <c r="O292" i="7"/>
  <c r="O291" i="7"/>
  <c r="P291" i="7" s="1"/>
  <c r="P290" i="7"/>
  <c r="O290" i="7"/>
  <c r="O289" i="7"/>
  <c r="P289" i="7" s="1"/>
  <c r="P288" i="7"/>
  <c r="O288" i="7"/>
  <c r="O287" i="7"/>
  <c r="P287" i="7" s="1"/>
  <c r="O286" i="7"/>
  <c r="P286" i="7" s="1"/>
  <c r="O285" i="7"/>
  <c r="P285" i="7" s="1"/>
  <c r="P284" i="7"/>
  <c r="O284" i="7"/>
  <c r="O283" i="7"/>
  <c r="P283" i="7" s="1"/>
  <c r="O282" i="7"/>
  <c r="P282" i="7" s="1"/>
  <c r="O281" i="7"/>
  <c r="P281" i="7" s="1"/>
  <c r="O280" i="7"/>
  <c r="P280" i="7" s="1"/>
  <c r="O279" i="7"/>
  <c r="P279" i="7" s="1"/>
  <c r="O278" i="7"/>
  <c r="P278" i="7" s="1"/>
  <c r="O277" i="7"/>
  <c r="P277" i="7" s="1"/>
  <c r="P276" i="7"/>
  <c r="O276" i="7"/>
  <c r="O275" i="7"/>
  <c r="P275" i="7" s="1"/>
  <c r="P274" i="7"/>
  <c r="O274" i="7"/>
  <c r="O273" i="7"/>
  <c r="P273" i="7" s="1"/>
  <c r="P272" i="7"/>
  <c r="O272" i="7"/>
  <c r="O271" i="7"/>
  <c r="P271" i="7" s="1"/>
  <c r="O270" i="7"/>
  <c r="P270" i="7" s="1"/>
  <c r="O269" i="7"/>
  <c r="P269" i="7" s="1"/>
  <c r="P268" i="7"/>
  <c r="O268" i="7"/>
  <c r="O267" i="7"/>
  <c r="P267" i="7" s="1"/>
  <c r="O266" i="7"/>
  <c r="P266" i="7" s="1"/>
  <c r="O265" i="7"/>
  <c r="P265" i="7" s="1"/>
  <c r="O264" i="7"/>
  <c r="P264" i="7" s="1"/>
  <c r="O263" i="7"/>
  <c r="P263" i="7" s="1"/>
  <c r="O262" i="7"/>
  <c r="P262" i="7" s="1"/>
  <c r="O261" i="7"/>
  <c r="P261" i="7" s="1"/>
  <c r="P260" i="7"/>
  <c r="O260" i="7"/>
  <c r="O259" i="7"/>
  <c r="P259" i="7" s="1"/>
  <c r="P258" i="7"/>
  <c r="O258" i="7"/>
  <c r="O257" i="7"/>
  <c r="P257" i="7" s="1"/>
  <c r="P256" i="7"/>
  <c r="O256" i="7"/>
  <c r="O255" i="7"/>
  <c r="P255" i="7" s="1"/>
  <c r="O254" i="7"/>
  <c r="P254" i="7" s="1"/>
  <c r="O253" i="7"/>
  <c r="P253" i="7" s="1"/>
  <c r="P252" i="7"/>
  <c r="O252" i="7"/>
  <c r="O251" i="7"/>
  <c r="P251" i="7" s="1"/>
  <c r="O250" i="7"/>
  <c r="P250" i="7" s="1"/>
  <c r="O249" i="7"/>
  <c r="P249" i="7" s="1"/>
  <c r="O248" i="7"/>
  <c r="P248" i="7" s="1"/>
  <c r="O247" i="7"/>
  <c r="P247" i="7" s="1"/>
  <c r="O246" i="7"/>
  <c r="P246" i="7" s="1"/>
  <c r="O245" i="7"/>
  <c r="P245" i="7" s="1"/>
  <c r="P244" i="7"/>
  <c r="O244" i="7"/>
  <c r="O243" i="7"/>
  <c r="P243" i="7" s="1"/>
  <c r="P242" i="7"/>
  <c r="O242" i="7"/>
  <c r="O241" i="7"/>
  <c r="P241" i="7" s="1"/>
  <c r="O240" i="7"/>
  <c r="P240" i="7" s="1"/>
  <c r="O239" i="7"/>
  <c r="P239" i="7" s="1"/>
  <c r="P238" i="7"/>
  <c r="O238" i="7"/>
  <c r="O237" i="7"/>
  <c r="P237" i="7" s="1"/>
  <c r="P236" i="7"/>
  <c r="O236" i="7"/>
  <c r="P235" i="7"/>
  <c r="O235" i="7"/>
  <c r="O234" i="7"/>
  <c r="P234" i="7" s="1"/>
  <c r="O233" i="7"/>
  <c r="P233" i="7" s="1"/>
  <c r="O232" i="7"/>
  <c r="P232" i="7" s="1"/>
  <c r="O231" i="7"/>
  <c r="P231" i="7" s="1"/>
  <c r="O230" i="7"/>
  <c r="P230" i="7" s="1"/>
  <c r="O229" i="7"/>
  <c r="P229" i="7" s="1"/>
  <c r="P228" i="7"/>
  <c r="O228" i="7"/>
  <c r="P227" i="7"/>
  <c r="O227" i="7"/>
  <c r="P226" i="7"/>
  <c r="O226" i="7"/>
  <c r="O225" i="7"/>
  <c r="P225" i="7" s="1"/>
  <c r="P224" i="7"/>
  <c r="O224" i="7"/>
  <c r="O223" i="7"/>
  <c r="P223" i="7" s="1"/>
  <c r="O222" i="7"/>
  <c r="P222" i="7" s="1"/>
  <c r="O221" i="7"/>
  <c r="P221" i="7" s="1"/>
  <c r="O220" i="7"/>
  <c r="P220" i="7" s="1"/>
  <c r="P219" i="7"/>
  <c r="O219" i="7"/>
  <c r="P218" i="7"/>
  <c r="O218" i="7"/>
  <c r="O217" i="7"/>
  <c r="P217" i="7" s="1"/>
  <c r="O216" i="7"/>
  <c r="P216" i="7" s="1"/>
  <c r="P215" i="7"/>
  <c r="O215" i="7"/>
  <c r="O214" i="7"/>
  <c r="P214" i="7" s="1"/>
  <c r="O213" i="7"/>
  <c r="P213" i="7" s="1"/>
  <c r="P212" i="7"/>
  <c r="O212" i="7"/>
  <c r="O211" i="7"/>
  <c r="P211" i="7" s="1"/>
  <c r="P210" i="7"/>
  <c r="O210" i="7"/>
  <c r="O209" i="7"/>
  <c r="P209" i="7" s="1"/>
  <c r="O208" i="7"/>
  <c r="P208" i="7" s="1"/>
  <c r="O207" i="7"/>
  <c r="P207" i="7" s="1"/>
  <c r="P206" i="7"/>
  <c r="O206" i="7"/>
  <c r="O205" i="7"/>
  <c r="P205" i="7" s="1"/>
  <c r="P204" i="7"/>
  <c r="O204" i="7"/>
  <c r="P203" i="7"/>
  <c r="O203" i="7"/>
  <c r="O202" i="7"/>
  <c r="P202" i="7" s="1"/>
  <c r="O201" i="7"/>
  <c r="P201" i="7" s="1"/>
  <c r="O200" i="7"/>
  <c r="P200" i="7" s="1"/>
  <c r="O199" i="7"/>
  <c r="P199" i="7" s="1"/>
  <c r="O198" i="7"/>
  <c r="P198" i="7" s="1"/>
  <c r="O197" i="7"/>
  <c r="P197" i="7" s="1"/>
  <c r="P196" i="7"/>
  <c r="O196" i="7"/>
  <c r="P195" i="7"/>
  <c r="O195" i="7"/>
  <c r="P194" i="7"/>
  <c r="O194" i="7"/>
  <c r="O193" i="7"/>
  <c r="P193" i="7" s="1"/>
  <c r="P192" i="7"/>
  <c r="O192" i="7"/>
  <c r="O191" i="7"/>
  <c r="P191" i="7" s="1"/>
  <c r="O190" i="7"/>
  <c r="P190" i="7" s="1"/>
  <c r="O189" i="7"/>
  <c r="P189" i="7" s="1"/>
  <c r="O188" i="7"/>
  <c r="P188" i="7" s="1"/>
  <c r="P187" i="7"/>
  <c r="O187" i="7"/>
  <c r="P186" i="7"/>
  <c r="O186" i="7"/>
  <c r="O185" i="7"/>
  <c r="P185" i="7" s="1"/>
  <c r="O184" i="7"/>
  <c r="P184" i="7" s="1"/>
  <c r="P183" i="7"/>
  <c r="O183" i="7"/>
  <c r="O182" i="7"/>
  <c r="P182" i="7" s="1"/>
  <c r="O181" i="7"/>
  <c r="P181" i="7" s="1"/>
  <c r="P180" i="7"/>
  <c r="O180" i="7"/>
  <c r="O179" i="7"/>
  <c r="P179" i="7" s="1"/>
  <c r="P178" i="7"/>
  <c r="O178" i="7"/>
  <c r="O177" i="7"/>
  <c r="P177" i="7" s="1"/>
  <c r="O176" i="7"/>
  <c r="P176" i="7" s="1"/>
  <c r="O175" i="7"/>
  <c r="P175" i="7" s="1"/>
  <c r="P174" i="7"/>
  <c r="O174" i="7"/>
  <c r="O173" i="7"/>
  <c r="P173" i="7" s="1"/>
  <c r="O172" i="7"/>
  <c r="P172" i="7" s="1"/>
  <c r="O171" i="7"/>
  <c r="P171" i="7" s="1"/>
  <c r="P170" i="7"/>
  <c r="O170" i="7"/>
  <c r="O169" i="7"/>
  <c r="P169" i="7" s="1"/>
  <c r="O168" i="7"/>
  <c r="P168" i="7" s="1"/>
  <c r="O167" i="7"/>
  <c r="P167" i="7" s="1"/>
  <c r="P166" i="7"/>
  <c r="O166" i="7"/>
  <c r="O165" i="7"/>
  <c r="P165" i="7" s="1"/>
  <c r="O164" i="7"/>
  <c r="P164" i="7" s="1"/>
  <c r="O163" i="7"/>
  <c r="P163" i="7" s="1"/>
  <c r="P162" i="7"/>
  <c r="O162" i="7"/>
  <c r="O161" i="7"/>
  <c r="P161" i="7" s="1"/>
  <c r="O160" i="7"/>
  <c r="P160" i="7" s="1"/>
  <c r="O159" i="7"/>
  <c r="P159" i="7" s="1"/>
  <c r="P158" i="7"/>
  <c r="O158" i="7"/>
  <c r="O157" i="7"/>
  <c r="P157" i="7" s="1"/>
  <c r="O156" i="7"/>
  <c r="P156" i="7" s="1"/>
  <c r="O155" i="7"/>
  <c r="P155" i="7" s="1"/>
  <c r="P154" i="7"/>
  <c r="O154" i="7"/>
  <c r="O153" i="7"/>
  <c r="P153" i="7" s="1"/>
  <c r="O152" i="7"/>
  <c r="P152" i="7" s="1"/>
  <c r="O151" i="7"/>
  <c r="P151" i="7" s="1"/>
  <c r="P150" i="7"/>
  <c r="O150" i="7"/>
  <c r="O149" i="7"/>
  <c r="P149" i="7" s="1"/>
  <c r="O148" i="7"/>
  <c r="P148" i="7" s="1"/>
  <c r="O147" i="7"/>
  <c r="P147" i="7" s="1"/>
  <c r="P146" i="7"/>
  <c r="O146" i="7"/>
  <c r="O145" i="7"/>
  <c r="P145" i="7" s="1"/>
  <c r="O144" i="7"/>
  <c r="P144" i="7" s="1"/>
  <c r="O143" i="7"/>
  <c r="P143" i="7" s="1"/>
  <c r="P142" i="7"/>
  <c r="O142" i="7"/>
  <c r="O141" i="7"/>
  <c r="P141" i="7" s="1"/>
  <c r="O140" i="7"/>
  <c r="P140" i="7" s="1"/>
  <c r="O139" i="7"/>
  <c r="P139" i="7" s="1"/>
  <c r="P138" i="7"/>
  <c r="O138" i="7"/>
  <c r="O137" i="7"/>
  <c r="P137" i="7" s="1"/>
  <c r="O136" i="7"/>
  <c r="P136" i="7" s="1"/>
  <c r="O135" i="7"/>
  <c r="P135" i="7" s="1"/>
  <c r="P134" i="7"/>
  <c r="O134" i="7"/>
  <c r="O133" i="7"/>
  <c r="P133" i="7" s="1"/>
  <c r="O132" i="7"/>
  <c r="P132" i="7" s="1"/>
  <c r="O131" i="7"/>
  <c r="P131" i="7" s="1"/>
  <c r="P130" i="7"/>
  <c r="O130" i="7"/>
  <c r="O129" i="7"/>
  <c r="P129" i="7" s="1"/>
  <c r="O128" i="7"/>
  <c r="P128" i="7" s="1"/>
  <c r="O127" i="7"/>
  <c r="P127" i="7" s="1"/>
  <c r="P126" i="7"/>
  <c r="O126" i="7"/>
  <c r="O125" i="7"/>
  <c r="P125" i="7" s="1"/>
  <c r="O124" i="7"/>
  <c r="P124" i="7" s="1"/>
  <c r="O123" i="7"/>
  <c r="P123" i="7" s="1"/>
  <c r="P122" i="7"/>
  <c r="O122" i="7"/>
  <c r="O121" i="7"/>
  <c r="P121" i="7" s="1"/>
  <c r="O120" i="7"/>
  <c r="P120" i="7" s="1"/>
  <c r="O119" i="7"/>
  <c r="P119" i="7" s="1"/>
  <c r="P118" i="7"/>
  <c r="O118" i="7"/>
  <c r="O117" i="7"/>
  <c r="P117" i="7" s="1"/>
  <c r="O116" i="7"/>
  <c r="P116" i="7" s="1"/>
  <c r="O115" i="7"/>
  <c r="P115" i="7" s="1"/>
  <c r="P114" i="7"/>
  <c r="O114" i="7"/>
  <c r="O113" i="7"/>
  <c r="P113" i="7" s="1"/>
  <c r="O112" i="7"/>
  <c r="P112" i="7" s="1"/>
  <c r="O111" i="7"/>
  <c r="P111" i="7" s="1"/>
  <c r="P110" i="7"/>
  <c r="O110" i="7"/>
  <c r="O109" i="7"/>
  <c r="P109" i="7" s="1"/>
  <c r="O108" i="7"/>
  <c r="P108" i="7" s="1"/>
  <c r="O107" i="7"/>
  <c r="P107" i="7" s="1"/>
  <c r="P106" i="7"/>
  <c r="O106" i="7"/>
  <c r="O105" i="7"/>
  <c r="P105" i="7" s="1"/>
  <c r="O104" i="7"/>
  <c r="P104" i="7" s="1"/>
  <c r="O103" i="7"/>
  <c r="P103" i="7" s="1"/>
  <c r="P102" i="7"/>
  <c r="O102" i="7"/>
  <c r="O101" i="7"/>
  <c r="P101" i="7" s="1"/>
  <c r="O100" i="7"/>
  <c r="P100" i="7" s="1"/>
  <c r="O99" i="7"/>
  <c r="P99" i="7" s="1"/>
  <c r="P98" i="7"/>
  <c r="O98" i="7"/>
  <c r="O97" i="7"/>
  <c r="P97" i="7" s="1"/>
  <c r="O96" i="7"/>
  <c r="P96" i="7" s="1"/>
  <c r="O95" i="7"/>
  <c r="P95" i="7" s="1"/>
  <c r="P94" i="7"/>
  <c r="O94" i="7"/>
  <c r="O93" i="7"/>
  <c r="P93" i="7" s="1"/>
  <c r="O92" i="7"/>
  <c r="P92" i="7" s="1"/>
  <c r="O91" i="7"/>
  <c r="P91" i="7" s="1"/>
  <c r="P90" i="7"/>
  <c r="O90" i="7"/>
  <c r="O89" i="7"/>
  <c r="P89" i="7" s="1"/>
  <c r="O88" i="7"/>
  <c r="P88" i="7" s="1"/>
  <c r="O87" i="7"/>
  <c r="P87" i="7" s="1"/>
  <c r="P86" i="7"/>
  <c r="O86" i="7"/>
  <c r="O85" i="7"/>
  <c r="P85" i="7" s="1"/>
  <c r="O84" i="7"/>
  <c r="P84" i="7" s="1"/>
  <c r="O83" i="7"/>
  <c r="P83" i="7" s="1"/>
  <c r="P82" i="7"/>
  <c r="O82" i="7"/>
  <c r="O81" i="7"/>
  <c r="P81" i="7" s="1"/>
  <c r="O80" i="7"/>
  <c r="P80" i="7" s="1"/>
  <c r="O79" i="7"/>
  <c r="P79" i="7" s="1"/>
  <c r="P78" i="7"/>
  <c r="O78" i="7"/>
  <c r="O77" i="7"/>
  <c r="P77" i="7" s="1"/>
  <c r="O76" i="7"/>
  <c r="P76" i="7" s="1"/>
  <c r="O75" i="7"/>
  <c r="P75" i="7" s="1"/>
  <c r="P74" i="7"/>
  <c r="O74" i="7"/>
  <c r="O73" i="7"/>
  <c r="P73" i="7" s="1"/>
  <c r="O72" i="7"/>
  <c r="P72" i="7" s="1"/>
  <c r="O71" i="7"/>
  <c r="P71" i="7" s="1"/>
  <c r="P70" i="7"/>
  <c r="O70" i="7"/>
  <c r="O69" i="7"/>
  <c r="P69" i="7" s="1"/>
  <c r="O68" i="7"/>
  <c r="P68" i="7" s="1"/>
  <c r="O67" i="7"/>
  <c r="P67" i="7" s="1"/>
  <c r="P66" i="7"/>
  <c r="O66" i="7"/>
  <c r="O65" i="7"/>
  <c r="P65" i="7" s="1"/>
  <c r="O64" i="7"/>
  <c r="P64" i="7" s="1"/>
  <c r="O63" i="7"/>
  <c r="P63" i="7" s="1"/>
  <c r="P62" i="7"/>
  <c r="O62" i="7"/>
  <c r="O61" i="7"/>
  <c r="P61" i="7" s="1"/>
  <c r="O60" i="7"/>
  <c r="P60" i="7" s="1"/>
  <c r="O59" i="7"/>
  <c r="P59" i="7" s="1"/>
  <c r="P58" i="7"/>
  <c r="O58" i="7"/>
  <c r="O57" i="7"/>
  <c r="P57" i="7" s="1"/>
  <c r="O56" i="7"/>
  <c r="P56" i="7" s="1"/>
  <c r="O55" i="7"/>
  <c r="P55" i="7" s="1"/>
  <c r="P54" i="7"/>
  <c r="O54" i="7"/>
  <c r="O53" i="7"/>
  <c r="P53" i="7" s="1"/>
  <c r="O52" i="7"/>
  <c r="P52" i="7" s="1"/>
  <c r="O51" i="7"/>
  <c r="P51" i="7" s="1"/>
  <c r="P50" i="7"/>
  <c r="O50" i="7"/>
  <c r="O49" i="7"/>
  <c r="P49" i="7" s="1"/>
  <c r="O48" i="7"/>
  <c r="P48" i="7" s="1"/>
  <c r="O47" i="7"/>
  <c r="P47" i="7" s="1"/>
  <c r="P46" i="7"/>
  <c r="O46" i="7"/>
  <c r="O45" i="7"/>
  <c r="P45" i="7" s="1"/>
  <c r="O44" i="7"/>
  <c r="P44" i="7" s="1"/>
  <c r="O43" i="7"/>
  <c r="P43" i="7" s="1"/>
  <c r="P42" i="7"/>
  <c r="O42" i="7"/>
  <c r="O41" i="7"/>
  <c r="P41" i="7" s="1"/>
  <c r="O40" i="7"/>
  <c r="P40" i="7" s="1"/>
  <c r="O39" i="7"/>
  <c r="P39" i="7" s="1"/>
  <c r="P38" i="7"/>
  <c r="O38" i="7"/>
  <c r="O37" i="7"/>
  <c r="P37" i="7" s="1"/>
  <c r="O36" i="7"/>
  <c r="P36" i="7" s="1"/>
  <c r="O35" i="7"/>
  <c r="P35" i="7" s="1"/>
  <c r="P34" i="7"/>
  <c r="O34" i="7"/>
  <c r="O33" i="7"/>
  <c r="P33" i="7" s="1"/>
  <c r="O32" i="7"/>
  <c r="P32" i="7" s="1"/>
  <c r="O31" i="7"/>
  <c r="P31" i="7" s="1"/>
  <c r="P30" i="7"/>
  <c r="O30" i="7"/>
  <c r="O29" i="7"/>
  <c r="P29" i="7" s="1"/>
  <c r="O28" i="7"/>
  <c r="P28" i="7" s="1"/>
  <c r="O27" i="7"/>
  <c r="P27" i="7" s="1"/>
  <c r="P26" i="7"/>
  <c r="O26" i="7"/>
  <c r="O25" i="7"/>
  <c r="P25" i="7" s="1"/>
  <c r="O24" i="7"/>
  <c r="P24" i="7" s="1"/>
  <c r="O23" i="7"/>
  <c r="P23" i="7" s="1"/>
  <c r="P22" i="7"/>
  <c r="O22" i="7"/>
  <c r="O21" i="7"/>
  <c r="P21" i="7" s="1"/>
  <c r="O20" i="7"/>
  <c r="P20" i="7" s="1"/>
  <c r="O19" i="7"/>
  <c r="P19" i="7" s="1"/>
  <c r="P18" i="7"/>
  <c r="O18" i="7"/>
  <c r="O17" i="7"/>
  <c r="P17" i="7" s="1"/>
  <c r="O16" i="7"/>
  <c r="P16" i="7" s="1"/>
  <c r="O514" i="11"/>
  <c r="O513" i="11"/>
  <c r="O512" i="11"/>
  <c r="O511" i="11"/>
  <c r="O510" i="11"/>
  <c r="O509" i="11"/>
  <c r="O508" i="11"/>
  <c r="O507" i="11"/>
  <c r="O506" i="11"/>
  <c r="O505" i="11"/>
  <c r="O504" i="11"/>
  <c r="O503" i="11"/>
  <c r="O502" i="11"/>
  <c r="O501" i="11"/>
  <c r="O500" i="11"/>
  <c r="O499" i="11"/>
  <c r="O498" i="11"/>
  <c r="O497" i="11"/>
  <c r="O496" i="11"/>
  <c r="O495" i="11"/>
  <c r="O494" i="11"/>
  <c r="O493" i="11"/>
  <c r="O492" i="11"/>
  <c r="O491" i="11"/>
  <c r="O490" i="11"/>
  <c r="O489" i="11"/>
  <c r="O488" i="11"/>
  <c r="O487" i="11"/>
  <c r="O486" i="11"/>
  <c r="O485" i="11"/>
  <c r="O484" i="11"/>
  <c r="O483" i="11"/>
  <c r="O482" i="11"/>
  <c r="O481" i="11"/>
  <c r="O480" i="11"/>
  <c r="O479" i="11"/>
  <c r="O478" i="11"/>
  <c r="O477" i="11"/>
  <c r="O476" i="11"/>
  <c r="O475" i="11"/>
  <c r="O474" i="11"/>
  <c r="O473" i="11"/>
  <c r="O472" i="11"/>
  <c r="O471" i="11"/>
  <c r="O470" i="11"/>
  <c r="O469" i="11"/>
  <c r="O468" i="11"/>
  <c r="O467" i="11"/>
  <c r="O466" i="11"/>
  <c r="O465" i="11"/>
  <c r="O464" i="11"/>
  <c r="O463" i="11"/>
  <c r="O462" i="11"/>
  <c r="O461" i="11"/>
  <c r="O460" i="11"/>
  <c r="O459" i="11"/>
  <c r="O458" i="11"/>
  <c r="O457" i="11"/>
  <c r="O456" i="11"/>
  <c r="O455" i="11"/>
  <c r="O454" i="11"/>
  <c r="O453" i="11"/>
  <c r="O452" i="11"/>
  <c r="O451" i="11"/>
  <c r="O450" i="11"/>
  <c r="O449" i="11"/>
  <c r="O448" i="11"/>
  <c r="O447" i="11"/>
  <c r="O446" i="11"/>
  <c r="O445" i="11"/>
  <c r="O444" i="11"/>
  <c r="O443" i="11"/>
  <c r="O442" i="11"/>
  <c r="O441" i="11"/>
  <c r="O440" i="11"/>
  <c r="O439" i="11"/>
  <c r="O438" i="11"/>
  <c r="O437" i="11"/>
  <c r="O436" i="11"/>
  <c r="O435" i="11"/>
  <c r="O434" i="11"/>
  <c r="O433" i="11"/>
  <c r="O432" i="11"/>
  <c r="O431" i="11"/>
  <c r="O430" i="11"/>
  <c r="O429" i="11"/>
  <c r="O428" i="11"/>
  <c r="O427" i="11"/>
  <c r="O426" i="11"/>
  <c r="O425" i="11"/>
  <c r="O424" i="11"/>
  <c r="O423" i="11"/>
  <c r="O422" i="11"/>
  <c r="O421" i="11"/>
  <c r="O420" i="11"/>
  <c r="O419" i="11"/>
  <c r="O418" i="11"/>
  <c r="O417" i="11"/>
  <c r="O416" i="11"/>
  <c r="O415" i="11"/>
  <c r="O414" i="11"/>
  <c r="O413" i="11"/>
  <c r="O412" i="11"/>
  <c r="O411" i="11"/>
  <c r="O410" i="11"/>
  <c r="O409" i="11"/>
  <c r="O408" i="11"/>
  <c r="O407" i="11"/>
  <c r="O406" i="11"/>
  <c r="O405" i="11"/>
  <c r="O404" i="11"/>
  <c r="O403" i="11"/>
  <c r="O402" i="11"/>
  <c r="O401" i="11"/>
  <c r="O400" i="11"/>
  <c r="O399" i="11"/>
  <c r="O398" i="11"/>
  <c r="O397" i="11"/>
  <c r="O396" i="11"/>
  <c r="O395" i="11"/>
  <c r="O394" i="11"/>
  <c r="O393" i="11"/>
  <c r="O392" i="11"/>
  <c r="O391" i="11"/>
  <c r="O390" i="11"/>
  <c r="O389" i="11"/>
  <c r="O388" i="11"/>
  <c r="O387" i="11"/>
  <c r="O386" i="11"/>
  <c r="O385" i="11"/>
  <c r="O384" i="11"/>
  <c r="O383" i="11"/>
  <c r="O382" i="11"/>
  <c r="O381" i="11"/>
  <c r="O380" i="11"/>
  <c r="O379" i="11"/>
  <c r="O378" i="11"/>
  <c r="O377" i="11"/>
  <c r="O376" i="11"/>
  <c r="O375" i="11"/>
  <c r="O374" i="11"/>
  <c r="O373" i="11"/>
  <c r="O372" i="11"/>
  <c r="O371" i="11"/>
  <c r="O370" i="11"/>
  <c r="O369" i="11"/>
  <c r="O368" i="11"/>
  <c r="O367" i="11"/>
  <c r="O366" i="11"/>
  <c r="O365" i="11"/>
  <c r="O364" i="11"/>
  <c r="O363" i="11"/>
  <c r="O362" i="11"/>
  <c r="O361" i="11"/>
  <c r="O360" i="11"/>
  <c r="O359" i="11"/>
  <c r="O358" i="11"/>
  <c r="O357" i="11"/>
  <c r="O356" i="11"/>
  <c r="O355" i="11"/>
  <c r="O354" i="11"/>
  <c r="O353" i="11"/>
  <c r="O352" i="11"/>
  <c r="O351" i="11"/>
  <c r="O350" i="11"/>
  <c r="O349" i="11"/>
  <c r="O348" i="11"/>
  <c r="O347"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O319" i="11"/>
  <c r="O318" i="11"/>
  <c r="O317" i="11"/>
  <c r="O316" i="11"/>
  <c r="O315" i="11"/>
  <c r="O314" i="11"/>
  <c r="O313" i="11"/>
  <c r="O312" i="11"/>
  <c r="O311" i="11"/>
  <c r="O310" i="11"/>
  <c r="O309" i="11"/>
  <c r="O308" i="11"/>
  <c r="O307" i="11"/>
  <c r="O306" i="1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O278" i="11"/>
  <c r="O277" i="11"/>
  <c r="O276" i="11"/>
  <c r="O275" i="11"/>
  <c r="O274" i="11"/>
  <c r="O273" i="11"/>
  <c r="O272" i="11"/>
  <c r="O271" i="11"/>
  <c r="O270" i="11"/>
  <c r="O269" i="11"/>
  <c r="O268" i="1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O237" i="11"/>
  <c r="O236" i="11"/>
  <c r="O235" i="11"/>
  <c r="O234" i="11"/>
  <c r="O233" i="11"/>
  <c r="O232" i="11"/>
  <c r="O231" i="11"/>
  <c r="O230" i="11"/>
  <c r="O229"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O196" i="11"/>
  <c r="O195" i="11"/>
  <c r="O194" i="11"/>
  <c r="O193" i="11"/>
  <c r="O192" i="11"/>
  <c r="O191" i="11"/>
  <c r="O190" i="11"/>
  <c r="O189" i="11"/>
  <c r="O188"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O158" i="11"/>
  <c r="O157" i="11"/>
  <c r="O156" i="11"/>
  <c r="O155" i="11"/>
  <c r="O154" i="11"/>
  <c r="O153" i="11"/>
  <c r="O152" i="11"/>
  <c r="O151" i="11"/>
  <c r="O150" i="11"/>
  <c r="O149" i="11"/>
  <c r="O148" i="11"/>
  <c r="O147"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O120"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O18" i="11"/>
  <c r="O17" i="11"/>
  <c r="O16" i="11"/>
  <c r="O514" i="10"/>
  <c r="O513" i="10"/>
  <c r="O512" i="10"/>
  <c r="O511" i="10"/>
  <c r="O510" i="10"/>
  <c r="O509" i="10"/>
  <c r="O508" i="10"/>
  <c r="O507" i="10"/>
  <c r="O506" i="10"/>
  <c r="O505" i="10"/>
  <c r="O504" i="10"/>
  <c r="O503" i="10"/>
  <c r="O502" i="10"/>
  <c r="O501" i="10"/>
  <c r="O500" i="10"/>
  <c r="O499" i="10"/>
  <c r="O498" i="10"/>
  <c r="O497" i="10"/>
  <c r="O496" i="10"/>
  <c r="O495" i="10"/>
  <c r="O494" i="10"/>
  <c r="O493" i="10"/>
  <c r="O492" i="10"/>
  <c r="O491" i="10"/>
  <c r="O490" i="10"/>
  <c r="O489" i="10"/>
  <c r="O488" i="10"/>
  <c r="O487" i="10"/>
  <c r="O486" i="10"/>
  <c r="O485" i="10"/>
  <c r="O484" i="10"/>
  <c r="O483" i="10"/>
  <c r="O482" i="10"/>
  <c r="O481" i="10"/>
  <c r="O480" i="10"/>
  <c r="O479" i="10"/>
  <c r="O478" i="10"/>
  <c r="O477" i="10"/>
  <c r="O476" i="10"/>
  <c r="O475" i="10"/>
  <c r="O474" i="10"/>
  <c r="O473" i="10"/>
  <c r="O472" i="10"/>
  <c r="O471" i="10"/>
  <c r="O470" i="10"/>
  <c r="O469" i="10"/>
  <c r="O468" i="10"/>
  <c r="O467" i="10"/>
  <c r="O466" i="10"/>
  <c r="O465" i="10"/>
  <c r="O464" i="10"/>
  <c r="O463" i="10"/>
  <c r="O462" i="10"/>
  <c r="O461" i="10"/>
  <c r="O460" i="10"/>
  <c r="O459" i="10"/>
  <c r="O458" i="10"/>
  <c r="O457" i="10"/>
  <c r="O456" i="10"/>
  <c r="O455" i="10"/>
  <c r="O454" i="10"/>
  <c r="O453" i="10"/>
  <c r="O452" i="10"/>
  <c r="O451" i="10"/>
  <c r="O450" i="10"/>
  <c r="O449" i="10"/>
  <c r="O448" i="10"/>
  <c r="O447" i="10"/>
  <c r="O446" i="10"/>
  <c r="O445" i="10"/>
  <c r="O444" i="10"/>
  <c r="O443" i="10"/>
  <c r="O442" i="10"/>
  <c r="O441" i="10"/>
  <c r="O440" i="10"/>
  <c r="O439" i="10"/>
  <c r="O438" i="10"/>
  <c r="O437" i="10"/>
  <c r="O436" i="10"/>
  <c r="O435" i="10"/>
  <c r="O434" i="10"/>
  <c r="O433" i="10"/>
  <c r="O432" i="10"/>
  <c r="O431" i="10"/>
  <c r="O430" i="10"/>
  <c r="O429" i="10"/>
  <c r="O428" i="10"/>
  <c r="O427" i="10"/>
  <c r="O426" i="10"/>
  <c r="O425" i="10"/>
  <c r="O424" i="10"/>
  <c r="O423" i="10"/>
  <c r="O422" i="10"/>
  <c r="O421" i="10"/>
  <c r="O420" i="10"/>
  <c r="O419" i="10"/>
  <c r="O418" i="10"/>
  <c r="O417" i="10"/>
  <c r="O416" i="10"/>
  <c r="O415" i="10"/>
  <c r="O414" i="10"/>
  <c r="O413" i="10"/>
  <c r="O412" i="10"/>
  <c r="O411" i="10"/>
  <c r="O410" i="10"/>
  <c r="O409" i="10"/>
  <c r="O408" i="10"/>
  <c r="O407" i="10"/>
  <c r="O406" i="10"/>
  <c r="O405" i="10"/>
  <c r="O404" i="10"/>
  <c r="O403" i="10"/>
  <c r="O402" i="10"/>
  <c r="O401" i="10"/>
  <c r="O400" i="10"/>
  <c r="O399" i="10"/>
  <c r="O398" i="10"/>
  <c r="O397" i="10"/>
  <c r="O396" i="10"/>
  <c r="O395" i="10"/>
  <c r="O394" i="10"/>
  <c r="O393" i="10"/>
  <c r="O392" i="10"/>
  <c r="O391" i="10"/>
  <c r="O390" i="10"/>
  <c r="O389" i="10"/>
  <c r="O388" i="10"/>
  <c r="O387" i="10"/>
  <c r="O386" i="10"/>
  <c r="O385" i="10"/>
  <c r="O384" i="10"/>
  <c r="O383" i="10"/>
  <c r="O382" i="10"/>
  <c r="O381" i="10"/>
  <c r="O380" i="10"/>
  <c r="O379" i="10"/>
  <c r="O378" i="10"/>
  <c r="O377" i="10"/>
  <c r="O376" i="10"/>
  <c r="O375" i="10"/>
  <c r="O374" i="10"/>
  <c r="O373" i="10"/>
  <c r="O372" i="10"/>
  <c r="O371" i="10"/>
  <c r="O370" i="10"/>
  <c r="O369" i="10"/>
  <c r="O368" i="10"/>
  <c r="O367" i="10"/>
  <c r="O366" i="10"/>
  <c r="O365" i="10"/>
  <c r="O364" i="10"/>
  <c r="O363" i="10"/>
  <c r="O362" i="10"/>
  <c r="O361" i="10"/>
  <c r="O360" i="10"/>
  <c r="O359" i="10"/>
  <c r="O358" i="10"/>
  <c r="O357" i="10"/>
  <c r="O356" i="10"/>
  <c r="O355" i="10"/>
  <c r="O354" i="10"/>
  <c r="O353" i="10"/>
  <c r="O352" i="10"/>
  <c r="O351" i="10"/>
  <c r="O350" i="10"/>
  <c r="O349" i="10"/>
  <c r="O348" i="10"/>
  <c r="O347" i="10"/>
  <c r="O346" i="10"/>
  <c r="O345" i="10"/>
  <c r="O344" i="10"/>
  <c r="O343" i="10"/>
  <c r="O342" i="10"/>
  <c r="O341" i="10"/>
  <c r="O340" i="10"/>
  <c r="O339" i="10"/>
  <c r="O338" i="10"/>
  <c r="O337" i="10"/>
  <c r="O336" i="10"/>
  <c r="O335" i="10"/>
  <c r="O334" i="10"/>
  <c r="O333" i="10"/>
  <c r="O332" i="10"/>
  <c r="O331" i="10"/>
  <c r="O330" i="10"/>
  <c r="O329" i="10"/>
  <c r="O328" i="10"/>
  <c r="O327" i="10"/>
  <c r="O326" i="10"/>
  <c r="O325" i="10"/>
  <c r="O324" i="10"/>
  <c r="O323" i="10"/>
  <c r="O322" i="10"/>
  <c r="O321" i="10"/>
  <c r="O320" i="10"/>
  <c r="O319" i="10"/>
  <c r="O318" i="10"/>
  <c r="O317" i="10"/>
  <c r="O316" i="10"/>
  <c r="O315" i="10"/>
  <c r="O314" i="10"/>
  <c r="O313" i="10"/>
  <c r="O312" i="10"/>
  <c r="O311" i="10"/>
  <c r="O310" i="10"/>
  <c r="O309" i="10"/>
  <c r="O308" i="10"/>
  <c r="O307" i="10"/>
  <c r="O306" i="10"/>
  <c r="O305" i="10"/>
  <c r="O304" i="10"/>
  <c r="O303" i="10"/>
  <c r="O302" i="10"/>
  <c r="O301" i="10"/>
  <c r="O300" i="10"/>
  <c r="O299" i="10"/>
  <c r="O298" i="10"/>
  <c r="O297" i="10"/>
  <c r="O296" i="10"/>
  <c r="O295" i="10"/>
  <c r="O294" i="10"/>
  <c r="O293" i="10"/>
  <c r="O292" i="10"/>
  <c r="O291" i="10"/>
  <c r="O290" i="10"/>
  <c r="O289" i="10"/>
  <c r="O288" i="10"/>
  <c r="O287" i="10"/>
  <c r="O286" i="10"/>
  <c r="O285" i="10"/>
  <c r="O284" i="10"/>
  <c r="O283" i="10"/>
  <c r="O282" i="10"/>
  <c r="O281" i="10"/>
  <c r="O280" i="10"/>
  <c r="O279" i="10"/>
  <c r="O278" i="10"/>
  <c r="O277" i="10"/>
  <c r="O276" i="10"/>
  <c r="O275" i="10"/>
  <c r="O274" i="10"/>
  <c r="O273" i="10"/>
  <c r="O272" i="10"/>
  <c r="O271" i="10"/>
  <c r="O270" i="10"/>
  <c r="O269" i="10"/>
  <c r="O268" i="10"/>
  <c r="O267" i="10"/>
  <c r="O266" i="10"/>
  <c r="O265" i="10"/>
  <c r="O264" i="10"/>
  <c r="O263" i="10"/>
  <c r="O262" i="10"/>
  <c r="O261" i="10"/>
  <c r="O260" i="10"/>
  <c r="O259" i="10"/>
  <c r="O258" i="10"/>
  <c r="O257" i="10"/>
  <c r="O256" i="10"/>
  <c r="O255" i="10"/>
  <c r="O254" i="10"/>
  <c r="O253" i="10"/>
  <c r="O252" i="10"/>
  <c r="O251" i="10"/>
  <c r="O250" i="10"/>
  <c r="O249" i="10"/>
  <c r="O248" i="10"/>
  <c r="O247" i="10"/>
  <c r="O246" i="10"/>
  <c r="O245" i="10"/>
  <c r="O244" i="10"/>
  <c r="O243" i="10"/>
  <c r="O242" i="10"/>
  <c r="O241" i="10"/>
  <c r="O240" i="10"/>
  <c r="O239" i="10"/>
  <c r="O238" i="10"/>
  <c r="O237" i="10"/>
  <c r="O236" i="10"/>
  <c r="O235" i="10"/>
  <c r="O234" i="10"/>
  <c r="O233" i="10"/>
  <c r="O232" i="10"/>
  <c r="O231" i="10"/>
  <c r="O230" i="10"/>
  <c r="O229" i="10"/>
  <c r="O228" i="10"/>
  <c r="O227" i="10"/>
  <c r="O226" i="10"/>
  <c r="O225" i="10"/>
  <c r="O224" i="10"/>
  <c r="O223" i="10"/>
  <c r="O222" i="10"/>
  <c r="O221" i="10"/>
  <c r="O220" i="10"/>
  <c r="O219" i="10"/>
  <c r="O218" i="10"/>
  <c r="O217" i="10"/>
  <c r="O216" i="10"/>
  <c r="O215" i="10"/>
  <c r="O214" i="10"/>
  <c r="O213" i="10"/>
  <c r="O212" i="10"/>
  <c r="O211" i="10"/>
  <c r="O210" i="10"/>
  <c r="O209" i="10"/>
  <c r="O208" i="10"/>
  <c r="O207" i="10"/>
  <c r="O206" i="10"/>
  <c r="O205" i="10"/>
  <c r="O204" i="10"/>
  <c r="O203" i="10"/>
  <c r="O202" i="10"/>
  <c r="O201" i="10"/>
  <c r="O200" i="10"/>
  <c r="O199" i="10"/>
  <c r="O198" i="10"/>
  <c r="O197" i="10"/>
  <c r="O196" i="10"/>
  <c r="O195" i="10"/>
  <c r="O194" i="10"/>
  <c r="O193" i="10"/>
  <c r="O192" i="10"/>
  <c r="O191" i="10"/>
  <c r="O190" i="10"/>
  <c r="O189" i="10"/>
  <c r="O188" i="10"/>
  <c r="O187" i="10"/>
  <c r="O186" i="10"/>
  <c r="O185" i="10"/>
  <c r="O184" i="10"/>
  <c r="O183" i="10"/>
  <c r="O182" i="10"/>
  <c r="O181" i="10"/>
  <c r="O180" i="10"/>
  <c r="O179" i="10"/>
  <c r="O178" i="10"/>
  <c r="O177" i="10"/>
  <c r="O176" i="10"/>
  <c r="O175" i="10"/>
  <c r="O174" i="10"/>
  <c r="O173" i="10"/>
  <c r="O172" i="10"/>
  <c r="O171" i="10"/>
  <c r="O170" i="10"/>
  <c r="O169" i="10"/>
  <c r="O168" i="10"/>
  <c r="O167" i="10"/>
  <c r="O166" i="10"/>
  <c r="O165" i="10"/>
  <c r="O164" i="10"/>
  <c r="O163" i="10"/>
  <c r="O162" i="10"/>
  <c r="O161" i="10"/>
  <c r="O160" i="10"/>
  <c r="O159" i="10"/>
  <c r="O158" i="10"/>
  <c r="O157" i="10"/>
  <c r="O156" i="10"/>
  <c r="O155" i="10"/>
  <c r="O154" i="10"/>
  <c r="O153" i="10"/>
  <c r="O152" i="10"/>
  <c r="O151" i="10"/>
  <c r="O150" i="10"/>
  <c r="O149" i="10"/>
  <c r="O148" i="10"/>
  <c r="O147" i="10"/>
  <c r="O146" i="10"/>
  <c r="O145" i="10"/>
  <c r="O144" i="10"/>
  <c r="O143" i="10"/>
  <c r="O142" i="10"/>
  <c r="O141" i="10"/>
  <c r="O140" i="10"/>
  <c r="O139" i="10"/>
  <c r="O138" i="10"/>
  <c r="O137" i="10"/>
  <c r="O136" i="10"/>
  <c r="O135" i="10"/>
  <c r="O134" i="10"/>
  <c r="O133" i="10"/>
  <c r="O132" i="10"/>
  <c r="O131" i="10"/>
  <c r="O130" i="10"/>
  <c r="O129" i="10"/>
  <c r="O128" i="10"/>
  <c r="O127" i="10"/>
  <c r="O126" i="10"/>
  <c r="O125" i="10"/>
  <c r="O124" i="10"/>
  <c r="O123" i="10"/>
  <c r="O122" i="10"/>
  <c r="O121" i="10"/>
  <c r="O120" i="10"/>
  <c r="O119" i="10"/>
  <c r="O118" i="10"/>
  <c r="O117" i="10"/>
  <c r="O116" i="10"/>
  <c r="O115" i="10"/>
  <c r="O114" i="10"/>
  <c r="O113" i="10"/>
  <c r="O112" i="10"/>
  <c r="O111" i="10"/>
  <c r="O110" i="10"/>
  <c r="O109" i="10"/>
  <c r="O108" i="10"/>
  <c r="O107" i="10"/>
  <c r="O106" i="10"/>
  <c r="O105" i="10"/>
  <c r="O104" i="10"/>
  <c r="O103" i="10"/>
  <c r="O102" i="10"/>
  <c r="O101" i="10"/>
  <c r="O100" i="10"/>
  <c r="O99" i="10"/>
  <c r="O98" i="10"/>
  <c r="O97" i="10"/>
  <c r="O96" i="10"/>
  <c r="O95" i="10"/>
  <c r="O94" i="10"/>
  <c r="O93" i="10"/>
  <c r="O92" i="10"/>
  <c r="O91" i="10"/>
  <c r="O90" i="10"/>
  <c r="O89" i="10"/>
  <c r="O88" i="10"/>
  <c r="O87" i="10"/>
  <c r="O86" i="10"/>
  <c r="O85" i="10"/>
  <c r="O84" i="10"/>
  <c r="O83" i="10"/>
  <c r="O82" i="10"/>
  <c r="O81" i="10"/>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L107" i="19"/>
  <c r="J15" i="19" l="1"/>
  <c r="L104" i="19"/>
  <c r="L103" i="19"/>
  <c r="L100" i="19"/>
  <c r="L98" i="19"/>
  <c r="L101" i="19"/>
  <c r="L97" i="19"/>
  <c r="N93" i="19" l="1"/>
  <c r="J50" i="19"/>
  <c r="T93" i="19"/>
  <c r="S93" i="19"/>
  <c r="W93" i="19"/>
  <c r="V93" i="19"/>
  <c r="U93" i="19"/>
  <c r="R93" i="19"/>
  <c r="Q93" i="19"/>
  <c r="O93" i="19"/>
  <c r="L93" i="19"/>
  <c r="M93" i="19"/>
  <c r="W92" i="19"/>
  <c r="V92" i="19"/>
  <c r="U92" i="19"/>
  <c r="T92" i="19"/>
  <c r="S92" i="19"/>
  <c r="R92" i="19"/>
  <c r="Q92" i="19"/>
  <c r="O92" i="19"/>
  <c r="N92" i="19"/>
  <c r="M92" i="19"/>
  <c r="L92" i="19"/>
  <c r="W91" i="19"/>
  <c r="U91" i="19"/>
  <c r="T91" i="19"/>
  <c r="S91" i="19"/>
  <c r="R91" i="19"/>
  <c r="Q91" i="19"/>
  <c r="O91" i="19"/>
  <c r="N91" i="19"/>
  <c r="M91" i="19"/>
  <c r="L91" i="19"/>
  <c r="W90" i="19"/>
  <c r="U90" i="19"/>
  <c r="T90" i="19"/>
  <c r="S90" i="19"/>
  <c r="R90" i="19"/>
  <c r="Q90" i="19"/>
  <c r="O90" i="19"/>
  <c r="N90" i="19"/>
  <c r="M90" i="19"/>
  <c r="L90" i="19"/>
  <c r="W89" i="19"/>
  <c r="U89" i="19"/>
  <c r="S89" i="19"/>
  <c r="R89" i="19"/>
  <c r="Q89" i="19"/>
  <c r="O89" i="19"/>
  <c r="N89" i="19"/>
  <c r="M89" i="19"/>
  <c r="L89" i="19"/>
  <c r="W88" i="19"/>
  <c r="U88" i="19"/>
  <c r="T88" i="19"/>
  <c r="S88" i="19"/>
  <c r="R88" i="19"/>
  <c r="Q88" i="19"/>
  <c r="O88" i="19"/>
  <c r="N88" i="19"/>
  <c r="M88" i="19"/>
  <c r="L85" i="19"/>
  <c r="L88" i="19"/>
  <c r="W85" i="19"/>
  <c r="V85" i="19"/>
  <c r="V86" i="19" s="1"/>
  <c r="U85" i="19"/>
  <c r="T85" i="19"/>
  <c r="S85" i="19"/>
  <c r="R85" i="19"/>
  <c r="Q85" i="19"/>
  <c r="P85" i="19"/>
  <c r="P86" i="19" s="1"/>
  <c r="O85" i="19"/>
  <c r="N85" i="19"/>
  <c r="N86" i="19" s="1"/>
  <c r="M85" i="19"/>
  <c r="V82" i="19"/>
  <c r="W81" i="19"/>
  <c r="V81" i="19"/>
  <c r="U81" i="19"/>
  <c r="T81" i="19"/>
  <c r="S81" i="19"/>
  <c r="R81" i="19"/>
  <c r="Q81" i="19"/>
  <c r="P81" i="19"/>
  <c r="O81" i="19"/>
  <c r="N81" i="19"/>
  <c r="M81" i="19"/>
  <c r="L81" i="19"/>
  <c r="W80" i="19"/>
  <c r="V80" i="19"/>
  <c r="U80" i="19"/>
  <c r="T80" i="19"/>
  <c r="S80" i="19"/>
  <c r="R80" i="19"/>
  <c r="Q80" i="19"/>
  <c r="P80" i="19"/>
  <c r="O80" i="19"/>
  <c r="N80" i="19"/>
  <c r="M80" i="19"/>
  <c r="L80" i="19"/>
  <c r="W84" i="19"/>
  <c r="V84" i="19"/>
  <c r="U84" i="19"/>
  <c r="T84" i="19"/>
  <c r="S84" i="19"/>
  <c r="R84" i="19"/>
  <c r="Q84" i="19"/>
  <c r="P84" i="19"/>
  <c r="O84" i="19"/>
  <c r="N84" i="19"/>
  <c r="M84" i="19"/>
  <c r="L84" i="19"/>
  <c r="W79" i="19"/>
  <c r="W82" i="19" s="1"/>
  <c r="V79" i="19"/>
  <c r="U79" i="19"/>
  <c r="U82" i="19" s="1"/>
  <c r="T79" i="19"/>
  <c r="T82" i="19" s="1"/>
  <c r="S79" i="19"/>
  <c r="S82" i="19" s="1"/>
  <c r="R79" i="19"/>
  <c r="R82" i="19" s="1"/>
  <c r="Q79" i="19"/>
  <c r="Q82" i="19" s="1"/>
  <c r="P79" i="19"/>
  <c r="P82" i="19" s="1"/>
  <c r="O79" i="19"/>
  <c r="O82" i="19" s="1"/>
  <c r="N79" i="19"/>
  <c r="N82" i="19" s="1"/>
  <c r="M79" i="19"/>
  <c r="M82" i="19" s="1"/>
  <c r="L79" i="19"/>
  <c r="L82" i="19" s="1"/>
  <c r="L73" i="19"/>
  <c r="L77" i="19"/>
  <c r="W73" i="19"/>
  <c r="V73" i="19"/>
  <c r="U73" i="19"/>
  <c r="T73" i="19"/>
  <c r="S73" i="19"/>
  <c r="R73" i="19"/>
  <c r="Q73" i="19"/>
  <c r="P73" i="19"/>
  <c r="O73" i="19"/>
  <c r="N73" i="19"/>
  <c r="M73" i="19"/>
  <c r="W72" i="19"/>
  <c r="V72" i="19"/>
  <c r="U72" i="19"/>
  <c r="T72" i="19"/>
  <c r="S72" i="19"/>
  <c r="R72" i="19"/>
  <c r="Q72" i="19"/>
  <c r="P72" i="19"/>
  <c r="O72" i="19"/>
  <c r="N72" i="19"/>
  <c r="M72" i="19"/>
  <c r="L72" i="19"/>
  <c r="L67" i="19"/>
  <c r="J14" i="19"/>
  <c r="J19" i="19"/>
  <c r="V44" i="16"/>
  <c r="U44" i="16"/>
  <c r="C44" i="16"/>
  <c r="B44" i="16"/>
  <c r="V43" i="16"/>
  <c r="U43" i="16"/>
  <c r="C43" i="16"/>
  <c r="B43" i="16"/>
  <c r="V42" i="16"/>
  <c r="U42" i="16"/>
  <c r="C42" i="16"/>
  <c r="B42" i="16"/>
  <c r="V41" i="16"/>
  <c r="U41" i="16"/>
  <c r="C41" i="16"/>
  <c r="B41" i="16"/>
  <c r="V40" i="16"/>
  <c r="U40" i="16"/>
  <c r="C40" i="16"/>
  <c r="B40" i="16"/>
  <c r="V39" i="16"/>
  <c r="U39" i="16"/>
  <c r="C39" i="16"/>
  <c r="B39" i="16"/>
  <c r="V38" i="16"/>
  <c r="U38" i="16"/>
  <c r="C38" i="16"/>
  <c r="B38" i="16"/>
  <c r="V37" i="16"/>
  <c r="U37" i="16"/>
  <c r="C37" i="16"/>
  <c r="B37" i="16"/>
  <c r="V36" i="16"/>
  <c r="U36" i="16"/>
  <c r="C36" i="16"/>
  <c r="B36" i="16"/>
  <c r="V35" i="16"/>
  <c r="U35" i="16"/>
  <c r="C35" i="16"/>
  <c r="B35" i="16"/>
  <c r="V34" i="16"/>
  <c r="U34" i="16"/>
  <c r="C34" i="16"/>
  <c r="B34" i="16"/>
  <c r="V33" i="16"/>
  <c r="U33" i="16"/>
  <c r="C33" i="16"/>
  <c r="B33" i="16"/>
  <c r="V32" i="16"/>
  <c r="U32" i="16"/>
  <c r="C32" i="16"/>
  <c r="B32" i="16"/>
  <c r="V31" i="16"/>
  <c r="U31" i="16"/>
  <c r="C31" i="16"/>
  <c r="B31" i="16"/>
  <c r="V30" i="16"/>
  <c r="U30" i="16"/>
  <c r="V91" i="19" s="1"/>
  <c r="C30" i="16"/>
  <c r="B30" i="16"/>
  <c r="P89" i="19"/>
  <c r="P69" i="19"/>
  <c r="W86" i="19" l="1"/>
  <c r="U86" i="19"/>
  <c r="T86" i="19"/>
  <c r="S86" i="19"/>
  <c r="R86" i="19"/>
  <c r="Q86" i="19"/>
  <c r="O86" i="19"/>
  <c r="M86" i="19"/>
  <c r="X82" i="19"/>
  <c r="X84" i="19"/>
  <c r="X72" i="19"/>
  <c r="X73" i="19"/>
  <c r="L86" i="19"/>
  <c r="P93" i="19"/>
  <c r="P91" i="19"/>
  <c r="P90" i="19"/>
  <c r="X90" i="19" s="1"/>
  <c r="V90" i="19"/>
  <c r="P88" i="19"/>
  <c r="P92" i="19"/>
  <c r="X92" i="19" s="1"/>
  <c r="V88" i="19"/>
  <c r="V89" i="19"/>
  <c r="X93" i="19"/>
  <c r="X91" i="19"/>
  <c r="X81" i="19"/>
  <c r="X80" i="19"/>
  <c r="X79" i="19"/>
  <c r="L69" i="19"/>
  <c r="M69" i="19"/>
  <c r="O69" i="19"/>
  <c r="W69" i="19"/>
  <c r="V69" i="19"/>
  <c r="U69" i="19"/>
  <c r="T69" i="19"/>
  <c r="S69" i="19"/>
  <c r="R69" i="19"/>
  <c r="Q69" i="19"/>
  <c r="N69" i="19"/>
  <c r="W68" i="19"/>
  <c r="V68" i="19"/>
  <c r="U68" i="19"/>
  <c r="T68" i="19"/>
  <c r="S68" i="19"/>
  <c r="R68" i="19"/>
  <c r="Q68" i="19"/>
  <c r="P68" i="19"/>
  <c r="O68" i="19"/>
  <c r="N68" i="19"/>
  <c r="M68" i="19"/>
  <c r="L68" i="19"/>
  <c r="W67" i="19"/>
  <c r="V67" i="19"/>
  <c r="U67" i="19"/>
  <c r="T67" i="19"/>
  <c r="S67" i="19"/>
  <c r="R67" i="19"/>
  <c r="Q67" i="19"/>
  <c r="P67" i="19"/>
  <c r="O67" i="19"/>
  <c r="N67" i="19"/>
  <c r="M67" i="19"/>
  <c r="L59" i="19"/>
  <c r="W59" i="19"/>
  <c r="W58" i="19"/>
  <c r="V59" i="19"/>
  <c r="U59" i="19"/>
  <c r="T59" i="19"/>
  <c r="S59" i="19"/>
  <c r="R59" i="19"/>
  <c r="Q59" i="19"/>
  <c r="P59" i="19"/>
  <c r="O59" i="19"/>
  <c r="N59" i="19"/>
  <c r="M59" i="19"/>
  <c r="V58" i="19"/>
  <c r="U58" i="19"/>
  <c r="S58" i="19"/>
  <c r="R58" i="19"/>
  <c r="Q58" i="19"/>
  <c r="P58" i="19"/>
  <c r="O58" i="19"/>
  <c r="N58" i="19"/>
  <c r="M58" i="19"/>
  <c r="L58" i="19"/>
  <c r="W57" i="19"/>
  <c r="V57" i="19"/>
  <c r="U57" i="19"/>
  <c r="T57" i="19"/>
  <c r="S57" i="19"/>
  <c r="R57" i="19"/>
  <c r="Q57" i="19"/>
  <c r="P57" i="19"/>
  <c r="O57" i="19"/>
  <c r="N57" i="19"/>
  <c r="M57" i="19"/>
  <c r="L57" i="19"/>
  <c r="W56" i="19"/>
  <c r="V56" i="19"/>
  <c r="U56" i="19"/>
  <c r="T56" i="19"/>
  <c r="S56" i="19"/>
  <c r="R56" i="19"/>
  <c r="Q56" i="19"/>
  <c r="P56" i="19"/>
  <c r="O56" i="19"/>
  <c r="N56" i="19"/>
  <c r="M56" i="19"/>
  <c r="L56" i="19"/>
  <c r="Q94" i="19"/>
  <c r="W77" i="19"/>
  <c r="V77" i="19"/>
  <c r="U77" i="19"/>
  <c r="T77" i="19"/>
  <c r="S77" i="19"/>
  <c r="R77" i="19"/>
  <c r="Q77" i="19"/>
  <c r="P77" i="19"/>
  <c r="O77" i="19"/>
  <c r="N77" i="19"/>
  <c r="M77" i="19"/>
  <c r="W76" i="19"/>
  <c r="V76" i="19"/>
  <c r="U76" i="19"/>
  <c r="T76" i="19"/>
  <c r="S76" i="19"/>
  <c r="R76" i="19"/>
  <c r="Q76" i="19"/>
  <c r="P76" i="19"/>
  <c r="O76" i="19"/>
  <c r="N76" i="19"/>
  <c r="M76" i="19"/>
  <c r="L76" i="19"/>
  <c r="Q74" i="19"/>
  <c r="J60" i="19"/>
  <c r="J51" i="19"/>
  <c r="L57" i="6"/>
  <c r="N57" i="6"/>
  <c r="N88" i="6"/>
  <c r="J52" i="19"/>
  <c r="L51" i="6"/>
  <c r="J6" i="19"/>
  <c r="J5" i="19"/>
  <c r="J4" i="19"/>
  <c r="J4" i="6"/>
  <c r="J8" i="6"/>
  <c r="J47" i="19"/>
  <c r="J46" i="19"/>
  <c r="J45" i="19"/>
  <c r="L46" i="6"/>
  <c r="J42" i="19"/>
  <c r="J41" i="19"/>
  <c r="J40" i="19"/>
  <c r="J39" i="19"/>
  <c r="J38" i="19"/>
  <c r="J37" i="19"/>
  <c r="J36" i="19"/>
  <c r="L37" i="6"/>
  <c r="J33" i="19"/>
  <c r="L34" i="6"/>
  <c r="J32" i="19"/>
  <c r="L33" i="6"/>
  <c r="J29" i="19"/>
  <c r="J28" i="19"/>
  <c r="J27" i="19"/>
  <c r="J26" i="19"/>
  <c r="J25" i="19"/>
  <c r="J24" i="19"/>
  <c r="L25" i="6"/>
  <c r="J21" i="19"/>
  <c r="J20" i="19"/>
  <c r="X20" i="6"/>
  <c r="L20" i="6"/>
  <c r="E5" i="1"/>
  <c r="V8" i="19"/>
  <c r="V7" i="19"/>
  <c r="V6" i="19"/>
  <c r="V5" i="19"/>
  <c r="V4" i="19"/>
  <c r="A3" i="19"/>
  <c r="A2" i="19"/>
  <c r="A1" i="19"/>
  <c r="C514" i="17"/>
  <c r="B514" i="17"/>
  <c r="C513" i="17"/>
  <c r="B513" i="17"/>
  <c r="C512" i="17"/>
  <c r="B512" i="17"/>
  <c r="C511" i="17"/>
  <c r="B511" i="17"/>
  <c r="C510" i="17"/>
  <c r="B510" i="17"/>
  <c r="C509" i="17"/>
  <c r="B509" i="17"/>
  <c r="C508" i="17"/>
  <c r="B508" i="17"/>
  <c r="C507" i="17"/>
  <c r="B507" i="17"/>
  <c r="C506" i="17"/>
  <c r="B506" i="17"/>
  <c r="C505" i="17"/>
  <c r="B505" i="17"/>
  <c r="C504" i="17"/>
  <c r="B504" i="17"/>
  <c r="C503" i="17"/>
  <c r="B503" i="17"/>
  <c r="C502" i="17"/>
  <c r="B502" i="17"/>
  <c r="C501" i="17"/>
  <c r="B501" i="17"/>
  <c r="C500" i="17"/>
  <c r="B500" i="17"/>
  <c r="C499" i="17"/>
  <c r="B499" i="17"/>
  <c r="C498" i="17"/>
  <c r="B498" i="17"/>
  <c r="C497" i="17"/>
  <c r="B497" i="17"/>
  <c r="C496" i="17"/>
  <c r="B496" i="17"/>
  <c r="C495" i="17"/>
  <c r="B495" i="17"/>
  <c r="C494" i="17"/>
  <c r="B494" i="17"/>
  <c r="C493" i="17"/>
  <c r="B493" i="17"/>
  <c r="C492" i="17"/>
  <c r="B492" i="17"/>
  <c r="C491" i="17"/>
  <c r="B491" i="17"/>
  <c r="C490" i="17"/>
  <c r="B490" i="17"/>
  <c r="C489" i="17"/>
  <c r="B489" i="17"/>
  <c r="C488" i="17"/>
  <c r="B488" i="17"/>
  <c r="C487" i="17"/>
  <c r="B487" i="17"/>
  <c r="C486" i="17"/>
  <c r="B486" i="17"/>
  <c r="C485" i="17"/>
  <c r="B485" i="17"/>
  <c r="C484" i="17"/>
  <c r="B484" i="17"/>
  <c r="C483" i="17"/>
  <c r="B483" i="17"/>
  <c r="C482" i="17"/>
  <c r="B482" i="17"/>
  <c r="C481" i="17"/>
  <c r="B481" i="17"/>
  <c r="C480" i="17"/>
  <c r="B480" i="17"/>
  <c r="C479" i="17"/>
  <c r="B479" i="17"/>
  <c r="C478" i="17"/>
  <c r="B478" i="17"/>
  <c r="C477" i="17"/>
  <c r="B477" i="17"/>
  <c r="C476" i="17"/>
  <c r="B476" i="17"/>
  <c r="C475" i="17"/>
  <c r="B475" i="17"/>
  <c r="C474" i="17"/>
  <c r="B474" i="17"/>
  <c r="C473" i="17"/>
  <c r="B473" i="17"/>
  <c r="C472" i="17"/>
  <c r="B472" i="17"/>
  <c r="C471" i="17"/>
  <c r="B471" i="17"/>
  <c r="C470" i="17"/>
  <c r="B470" i="17"/>
  <c r="C469" i="17"/>
  <c r="B469" i="17"/>
  <c r="C468" i="17"/>
  <c r="B468" i="17"/>
  <c r="C467" i="17"/>
  <c r="B467" i="17"/>
  <c r="C466" i="17"/>
  <c r="B466" i="17"/>
  <c r="C465" i="17"/>
  <c r="B465" i="17"/>
  <c r="C464" i="17"/>
  <c r="B464" i="17"/>
  <c r="C463" i="17"/>
  <c r="B463" i="17"/>
  <c r="C462" i="17"/>
  <c r="B462" i="17"/>
  <c r="C461" i="17"/>
  <c r="B461" i="17"/>
  <c r="C460" i="17"/>
  <c r="B460" i="17"/>
  <c r="C459" i="17"/>
  <c r="B459" i="17"/>
  <c r="C458" i="17"/>
  <c r="B458" i="17"/>
  <c r="C457" i="17"/>
  <c r="B457" i="17"/>
  <c r="C456" i="17"/>
  <c r="B456" i="17"/>
  <c r="C455" i="17"/>
  <c r="B455" i="17"/>
  <c r="C454" i="17"/>
  <c r="B454" i="17"/>
  <c r="C453" i="17"/>
  <c r="B453" i="17"/>
  <c r="C452" i="17"/>
  <c r="B452" i="17"/>
  <c r="C451" i="17"/>
  <c r="B451" i="17"/>
  <c r="C450" i="17"/>
  <c r="B450" i="17"/>
  <c r="C449" i="17"/>
  <c r="B449" i="17"/>
  <c r="C448" i="17"/>
  <c r="B448" i="17"/>
  <c r="C447" i="17"/>
  <c r="B447" i="17"/>
  <c r="C446" i="17"/>
  <c r="B446" i="17"/>
  <c r="C445" i="17"/>
  <c r="B445" i="17"/>
  <c r="C444" i="17"/>
  <c r="B444" i="17"/>
  <c r="C443" i="17"/>
  <c r="B443" i="17"/>
  <c r="C442" i="17"/>
  <c r="B442" i="17"/>
  <c r="C441" i="17"/>
  <c r="B441" i="17"/>
  <c r="C440" i="17"/>
  <c r="B440" i="17"/>
  <c r="C439" i="17"/>
  <c r="B439" i="17"/>
  <c r="C438" i="17"/>
  <c r="B438" i="17"/>
  <c r="C437" i="17"/>
  <c r="B437" i="17"/>
  <c r="C436" i="17"/>
  <c r="B436" i="17"/>
  <c r="C435" i="17"/>
  <c r="B435" i="17"/>
  <c r="C434" i="17"/>
  <c r="B434" i="17"/>
  <c r="C433" i="17"/>
  <c r="B433" i="17"/>
  <c r="C432" i="17"/>
  <c r="B432" i="17"/>
  <c r="C431" i="17"/>
  <c r="B431" i="17"/>
  <c r="C430" i="17"/>
  <c r="B430" i="17"/>
  <c r="C429" i="17"/>
  <c r="B429" i="17"/>
  <c r="C428" i="17"/>
  <c r="B428" i="17"/>
  <c r="C427" i="17"/>
  <c r="B427" i="17"/>
  <c r="C426" i="17"/>
  <c r="B426" i="17"/>
  <c r="C425" i="17"/>
  <c r="B425" i="17"/>
  <c r="C424" i="17"/>
  <c r="B424" i="17"/>
  <c r="C423" i="17"/>
  <c r="B423" i="17"/>
  <c r="C422" i="17"/>
  <c r="B422" i="17"/>
  <c r="C421" i="17"/>
  <c r="B421" i="17"/>
  <c r="C420" i="17"/>
  <c r="B420" i="17"/>
  <c r="C419" i="17"/>
  <c r="B419" i="17"/>
  <c r="C418" i="17"/>
  <c r="B418" i="17"/>
  <c r="C417" i="17"/>
  <c r="B417" i="17"/>
  <c r="C416" i="17"/>
  <c r="B416" i="17"/>
  <c r="C415" i="17"/>
  <c r="B415" i="17"/>
  <c r="C414" i="17"/>
  <c r="B414" i="17"/>
  <c r="C413" i="17"/>
  <c r="B413" i="17"/>
  <c r="C412" i="17"/>
  <c r="B412" i="17"/>
  <c r="C411" i="17"/>
  <c r="B411" i="17"/>
  <c r="C410" i="17"/>
  <c r="B410" i="17"/>
  <c r="C409" i="17"/>
  <c r="B409" i="17"/>
  <c r="C408" i="17"/>
  <c r="B408" i="17"/>
  <c r="C407" i="17"/>
  <c r="B407" i="17"/>
  <c r="C406" i="17"/>
  <c r="B406" i="17"/>
  <c r="C405" i="17"/>
  <c r="B405" i="17"/>
  <c r="C404" i="17"/>
  <c r="B404" i="17"/>
  <c r="C403" i="17"/>
  <c r="B403" i="17"/>
  <c r="C402" i="17"/>
  <c r="B402" i="17"/>
  <c r="C401" i="17"/>
  <c r="B401" i="17"/>
  <c r="C400" i="17"/>
  <c r="B400" i="17"/>
  <c r="C399" i="17"/>
  <c r="B399" i="17"/>
  <c r="C398" i="17"/>
  <c r="B398" i="17"/>
  <c r="C397" i="17"/>
  <c r="B397" i="17"/>
  <c r="C396" i="17"/>
  <c r="B396" i="17"/>
  <c r="C395" i="17"/>
  <c r="B395" i="17"/>
  <c r="C394" i="17"/>
  <c r="B394" i="17"/>
  <c r="C393" i="17"/>
  <c r="B393" i="17"/>
  <c r="C392" i="17"/>
  <c r="B392" i="17"/>
  <c r="C391" i="17"/>
  <c r="B391" i="17"/>
  <c r="C390" i="17"/>
  <c r="B390" i="17"/>
  <c r="C389" i="17"/>
  <c r="B389" i="17"/>
  <c r="C388" i="17"/>
  <c r="B388" i="17"/>
  <c r="C387" i="17"/>
  <c r="B387" i="17"/>
  <c r="C386" i="17"/>
  <c r="B386" i="17"/>
  <c r="C385" i="17"/>
  <c r="B385" i="17"/>
  <c r="C384" i="17"/>
  <c r="B384" i="17"/>
  <c r="C383" i="17"/>
  <c r="B383" i="17"/>
  <c r="C382" i="17"/>
  <c r="B382" i="17"/>
  <c r="C381" i="17"/>
  <c r="B381" i="17"/>
  <c r="C380" i="17"/>
  <c r="B380" i="17"/>
  <c r="C379" i="17"/>
  <c r="B379" i="17"/>
  <c r="C378" i="17"/>
  <c r="B378" i="17"/>
  <c r="C377" i="17"/>
  <c r="B377" i="17"/>
  <c r="C376" i="17"/>
  <c r="B376" i="17"/>
  <c r="C375" i="17"/>
  <c r="B375" i="17"/>
  <c r="C374" i="17"/>
  <c r="B374" i="17"/>
  <c r="C373" i="17"/>
  <c r="B373" i="17"/>
  <c r="C372" i="17"/>
  <c r="B372" i="17"/>
  <c r="C371" i="17"/>
  <c r="B371" i="17"/>
  <c r="C370" i="17"/>
  <c r="B370" i="17"/>
  <c r="C369" i="17"/>
  <c r="B369" i="17"/>
  <c r="C368" i="17"/>
  <c r="B368" i="17"/>
  <c r="C367" i="17"/>
  <c r="B367" i="17"/>
  <c r="C366" i="17"/>
  <c r="B366" i="17"/>
  <c r="C365" i="17"/>
  <c r="B365" i="17"/>
  <c r="C364" i="17"/>
  <c r="B364" i="17"/>
  <c r="C363" i="17"/>
  <c r="B363" i="17"/>
  <c r="C362" i="17"/>
  <c r="B362" i="17"/>
  <c r="C361" i="17"/>
  <c r="B361" i="17"/>
  <c r="C360" i="17"/>
  <c r="B360" i="17"/>
  <c r="C359" i="17"/>
  <c r="B359" i="17"/>
  <c r="C358" i="17"/>
  <c r="B358" i="17"/>
  <c r="C357" i="17"/>
  <c r="B357" i="17"/>
  <c r="C356" i="17"/>
  <c r="B356" i="17"/>
  <c r="C355" i="17"/>
  <c r="B355" i="17"/>
  <c r="C354" i="17"/>
  <c r="B354" i="17"/>
  <c r="C353" i="17"/>
  <c r="B353" i="17"/>
  <c r="C352" i="17"/>
  <c r="B352" i="17"/>
  <c r="C351" i="17"/>
  <c r="B351" i="17"/>
  <c r="C350" i="17"/>
  <c r="B350" i="17"/>
  <c r="C349" i="17"/>
  <c r="B349" i="17"/>
  <c r="C348" i="17"/>
  <c r="B348" i="17"/>
  <c r="C347" i="17"/>
  <c r="B347" i="17"/>
  <c r="C346" i="17"/>
  <c r="B346" i="17"/>
  <c r="C345" i="17"/>
  <c r="B345" i="17"/>
  <c r="C344" i="17"/>
  <c r="B344" i="17"/>
  <c r="C343" i="17"/>
  <c r="B343" i="17"/>
  <c r="C342" i="17"/>
  <c r="B342" i="17"/>
  <c r="C341" i="17"/>
  <c r="B341" i="17"/>
  <c r="C340" i="17"/>
  <c r="B340" i="17"/>
  <c r="C339" i="17"/>
  <c r="B339" i="17"/>
  <c r="C338" i="17"/>
  <c r="B338" i="17"/>
  <c r="C337" i="17"/>
  <c r="B337" i="17"/>
  <c r="C336" i="17"/>
  <c r="B336" i="17"/>
  <c r="C335" i="17"/>
  <c r="B335" i="17"/>
  <c r="C334" i="17"/>
  <c r="B334" i="17"/>
  <c r="C333" i="17"/>
  <c r="B333" i="17"/>
  <c r="C332" i="17"/>
  <c r="B332" i="17"/>
  <c r="C331" i="17"/>
  <c r="B331" i="17"/>
  <c r="C330" i="17"/>
  <c r="B330" i="17"/>
  <c r="C329" i="17"/>
  <c r="B329" i="17"/>
  <c r="C328" i="17"/>
  <c r="B328" i="17"/>
  <c r="C327" i="17"/>
  <c r="B327" i="17"/>
  <c r="C326" i="17"/>
  <c r="B326" i="17"/>
  <c r="C325" i="17"/>
  <c r="B325" i="17"/>
  <c r="C324" i="17"/>
  <c r="B324" i="17"/>
  <c r="C323" i="17"/>
  <c r="B323" i="17"/>
  <c r="C322" i="17"/>
  <c r="B322" i="17"/>
  <c r="C321" i="17"/>
  <c r="B321" i="17"/>
  <c r="C320" i="17"/>
  <c r="B320" i="17"/>
  <c r="C319" i="17"/>
  <c r="B319" i="17"/>
  <c r="C318" i="17"/>
  <c r="B318" i="17"/>
  <c r="C317" i="17"/>
  <c r="B317" i="17"/>
  <c r="C316" i="17"/>
  <c r="B316" i="17"/>
  <c r="C315" i="17"/>
  <c r="B315" i="17"/>
  <c r="C314" i="17"/>
  <c r="B314" i="17"/>
  <c r="C313" i="17"/>
  <c r="B313" i="17"/>
  <c r="C312" i="17"/>
  <c r="B312" i="17"/>
  <c r="C311" i="17"/>
  <c r="B311" i="17"/>
  <c r="C310" i="17"/>
  <c r="B310" i="17"/>
  <c r="C309" i="17"/>
  <c r="B309" i="17"/>
  <c r="C308" i="17"/>
  <c r="B308" i="17"/>
  <c r="C307" i="17"/>
  <c r="B307" i="17"/>
  <c r="C306" i="17"/>
  <c r="B306" i="17"/>
  <c r="C305" i="17"/>
  <c r="B305" i="17"/>
  <c r="C304" i="17"/>
  <c r="B304" i="17"/>
  <c r="C303" i="17"/>
  <c r="B303" i="17"/>
  <c r="C302" i="17"/>
  <c r="B302" i="17"/>
  <c r="C301" i="17"/>
  <c r="B301" i="17"/>
  <c r="C300" i="17"/>
  <c r="B300" i="17"/>
  <c r="C299" i="17"/>
  <c r="B299" i="17"/>
  <c r="C298" i="17"/>
  <c r="B298" i="17"/>
  <c r="C297" i="17"/>
  <c r="B297" i="17"/>
  <c r="C296" i="17"/>
  <c r="B296" i="17"/>
  <c r="C295" i="17"/>
  <c r="B295" i="17"/>
  <c r="C294" i="17"/>
  <c r="B294" i="17"/>
  <c r="C293" i="17"/>
  <c r="B293" i="17"/>
  <c r="C292" i="17"/>
  <c r="B292" i="17"/>
  <c r="C291" i="17"/>
  <c r="B291" i="17"/>
  <c r="C290" i="17"/>
  <c r="B290" i="17"/>
  <c r="C289" i="17"/>
  <c r="B289" i="17"/>
  <c r="C288" i="17"/>
  <c r="B288" i="17"/>
  <c r="C287" i="17"/>
  <c r="B287" i="17"/>
  <c r="C286" i="17"/>
  <c r="B286" i="17"/>
  <c r="C285" i="17"/>
  <c r="B285" i="17"/>
  <c r="C284" i="17"/>
  <c r="B284" i="17"/>
  <c r="C283" i="17"/>
  <c r="B283" i="17"/>
  <c r="C282" i="17"/>
  <c r="B282" i="17"/>
  <c r="C281" i="17"/>
  <c r="B281" i="17"/>
  <c r="C280" i="17"/>
  <c r="B280" i="17"/>
  <c r="C279" i="17"/>
  <c r="B279" i="17"/>
  <c r="C278" i="17"/>
  <c r="B278" i="17"/>
  <c r="C277" i="17"/>
  <c r="B277" i="17"/>
  <c r="C276" i="17"/>
  <c r="B276" i="17"/>
  <c r="C275" i="17"/>
  <c r="B275" i="17"/>
  <c r="C274" i="17"/>
  <c r="B274" i="17"/>
  <c r="C273" i="17"/>
  <c r="B273" i="17"/>
  <c r="C272" i="17"/>
  <c r="B272" i="17"/>
  <c r="C271" i="17"/>
  <c r="B271" i="17"/>
  <c r="C270" i="17"/>
  <c r="B270" i="17"/>
  <c r="C269" i="17"/>
  <c r="B269" i="17"/>
  <c r="C268" i="17"/>
  <c r="B268" i="17"/>
  <c r="C267" i="17"/>
  <c r="B267" i="17"/>
  <c r="C266" i="17"/>
  <c r="B266" i="17"/>
  <c r="C265" i="17"/>
  <c r="B265" i="17"/>
  <c r="C264" i="17"/>
  <c r="B264" i="17"/>
  <c r="C263" i="17"/>
  <c r="B263" i="17"/>
  <c r="C262" i="17"/>
  <c r="B262" i="17"/>
  <c r="C261" i="17"/>
  <c r="B261" i="17"/>
  <c r="C260" i="17"/>
  <c r="B260" i="17"/>
  <c r="C259" i="17"/>
  <c r="B259" i="17"/>
  <c r="C258" i="17"/>
  <c r="B258" i="17"/>
  <c r="C257" i="17"/>
  <c r="B257" i="17"/>
  <c r="C256" i="17"/>
  <c r="B256" i="17"/>
  <c r="C255" i="17"/>
  <c r="B255" i="17"/>
  <c r="C254" i="17"/>
  <c r="B254" i="17"/>
  <c r="C253" i="17"/>
  <c r="B253" i="17"/>
  <c r="C252" i="17"/>
  <c r="B252" i="17"/>
  <c r="C251" i="17"/>
  <c r="B251" i="17"/>
  <c r="C250" i="17"/>
  <c r="B250" i="17"/>
  <c r="C249" i="17"/>
  <c r="B249" i="17"/>
  <c r="C248" i="17"/>
  <c r="B248" i="17"/>
  <c r="C247" i="17"/>
  <c r="B247" i="17"/>
  <c r="C246" i="17"/>
  <c r="B246" i="17"/>
  <c r="C245" i="17"/>
  <c r="B245" i="17"/>
  <c r="C244" i="17"/>
  <c r="B244" i="17"/>
  <c r="C243" i="17"/>
  <c r="B243" i="17"/>
  <c r="C242" i="17"/>
  <c r="B242" i="17"/>
  <c r="C241" i="17"/>
  <c r="B241" i="17"/>
  <c r="C240" i="17"/>
  <c r="B240" i="17"/>
  <c r="C239" i="17"/>
  <c r="B239" i="17"/>
  <c r="C238" i="17"/>
  <c r="B238" i="17"/>
  <c r="C237" i="17"/>
  <c r="B237" i="17"/>
  <c r="C236" i="17"/>
  <c r="B236" i="17"/>
  <c r="C235" i="17"/>
  <c r="B235" i="17"/>
  <c r="C234" i="17"/>
  <c r="B234" i="17"/>
  <c r="C233" i="17"/>
  <c r="B233" i="17"/>
  <c r="C232" i="17"/>
  <c r="B232" i="17"/>
  <c r="C231" i="17"/>
  <c r="B231" i="17"/>
  <c r="C230" i="17"/>
  <c r="B230" i="17"/>
  <c r="C229" i="17"/>
  <c r="B229" i="17"/>
  <c r="C228" i="17"/>
  <c r="B228" i="17"/>
  <c r="C227" i="17"/>
  <c r="B227" i="17"/>
  <c r="C226" i="17"/>
  <c r="B226" i="17"/>
  <c r="C225" i="17"/>
  <c r="B225" i="17"/>
  <c r="C224" i="17"/>
  <c r="B224" i="17"/>
  <c r="C223" i="17"/>
  <c r="B223" i="17"/>
  <c r="C222" i="17"/>
  <c r="B222" i="17"/>
  <c r="C221" i="17"/>
  <c r="B221" i="17"/>
  <c r="C220" i="17"/>
  <c r="B220" i="17"/>
  <c r="C219" i="17"/>
  <c r="B219" i="17"/>
  <c r="C218" i="17"/>
  <c r="B218" i="17"/>
  <c r="C217" i="17"/>
  <c r="B217" i="17"/>
  <c r="C216" i="17"/>
  <c r="B216" i="17"/>
  <c r="C215" i="17"/>
  <c r="B215" i="17"/>
  <c r="C214" i="17"/>
  <c r="B214" i="17"/>
  <c r="C213" i="17"/>
  <c r="B213" i="17"/>
  <c r="C212" i="17"/>
  <c r="B212" i="17"/>
  <c r="C211" i="17"/>
  <c r="B211" i="17"/>
  <c r="C210" i="17"/>
  <c r="B210" i="17"/>
  <c r="C209" i="17"/>
  <c r="B209" i="17"/>
  <c r="C208" i="17"/>
  <c r="B208" i="17"/>
  <c r="C207" i="17"/>
  <c r="B207" i="17"/>
  <c r="C206" i="17"/>
  <c r="B206" i="17"/>
  <c r="C205" i="17"/>
  <c r="B205" i="17"/>
  <c r="C204" i="17"/>
  <c r="B204" i="17"/>
  <c r="C203" i="17"/>
  <c r="B203" i="17"/>
  <c r="C202" i="17"/>
  <c r="B202" i="17"/>
  <c r="C201" i="17"/>
  <c r="B201" i="17"/>
  <c r="C200" i="17"/>
  <c r="B200" i="17"/>
  <c r="C199" i="17"/>
  <c r="B199" i="17"/>
  <c r="C198" i="17"/>
  <c r="B198" i="17"/>
  <c r="C197" i="17"/>
  <c r="B197" i="17"/>
  <c r="C196" i="17"/>
  <c r="B196" i="17"/>
  <c r="C195" i="17"/>
  <c r="B195" i="17"/>
  <c r="C194" i="17"/>
  <c r="B194" i="17"/>
  <c r="C193" i="17"/>
  <c r="B193" i="17"/>
  <c r="C192" i="17"/>
  <c r="B192" i="17"/>
  <c r="C191" i="17"/>
  <c r="B191" i="17"/>
  <c r="C190" i="17"/>
  <c r="B190" i="17"/>
  <c r="C189" i="17"/>
  <c r="B189" i="17"/>
  <c r="C188" i="17"/>
  <c r="B188" i="17"/>
  <c r="C187" i="17"/>
  <c r="B187" i="17"/>
  <c r="C186" i="17"/>
  <c r="B186" i="17"/>
  <c r="C185" i="17"/>
  <c r="B185" i="17"/>
  <c r="C184" i="17"/>
  <c r="B184" i="17"/>
  <c r="C183" i="17"/>
  <c r="B183" i="17"/>
  <c r="C182" i="17"/>
  <c r="B182" i="17"/>
  <c r="C181" i="17"/>
  <c r="B181" i="17"/>
  <c r="C180" i="17"/>
  <c r="B180" i="17"/>
  <c r="C179" i="17"/>
  <c r="B179" i="17"/>
  <c r="C178" i="17"/>
  <c r="B178" i="17"/>
  <c r="C177" i="17"/>
  <c r="B177" i="17"/>
  <c r="C176" i="17"/>
  <c r="B176" i="17"/>
  <c r="C175" i="17"/>
  <c r="B175" i="17"/>
  <c r="C174" i="17"/>
  <c r="B174" i="17"/>
  <c r="C173" i="17"/>
  <c r="B173" i="17"/>
  <c r="C172" i="17"/>
  <c r="B172" i="17"/>
  <c r="C171" i="17"/>
  <c r="B171" i="17"/>
  <c r="C170" i="17"/>
  <c r="B170" i="17"/>
  <c r="C169" i="17"/>
  <c r="B169" i="17"/>
  <c r="C168" i="17"/>
  <c r="B168" i="17"/>
  <c r="C167" i="17"/>
  <c r="B167" i="17"/>
  <c r="C166" i="17"/>
  <c r="B166" i="17"/>
  <c r="C165" i="17"/>
  <c r="B165" i="17"/>
  <c r="C164" i="17"/>
  <c r="B164" i="17"/>
  <c r="C163" i="17"/>
  <c r="B163" i="17"/>
  <c r="C162" i="17"/>
  <c r="B162" i="17"/>
  <c r="C161" i="17"/>
  <c r="B161" i="17"/>
  <c r="C160" i="17"/>
  <c r="B160" i="17"/>
  <c r="C159" i="17"/>
  <c r="B159" i="17"/>
  <c r="C158" i="17"/>
  <c r="B158" i="17"/>
  <c r="C157" i="17"/>
  <c r="B157" i="17"/>
  <c r="C156" i="17"/>
  <c r="B156" i="17"/>
  <c r="C155" i="17"/>
  <c r="B155" i="17"/>
  <c r="C154" i="17"/>
  <c r="B154" i="17"/>
  <c r="C153" i="17"/>
  <c r="B153" i="17"/>
  <c r="C152" i="17"/>
  <c r="B152" i="17"/>
  <c r="C151" i="17"/>
  <c r="B151" i="17"/>
  <c r="C150" i="17"/>
  <c r="B150" i="17"/>
  <c r="C149" i="17"/>
  <c r="B149" i="17"/>
  <c r="C148" i="17"/>
  <c r="B148" i="17"/>
  <c r="C147" i="17"/>
  <c r="B147" i="17"/>
  <c r="C146" i="17"/>
  <c r="B146" i="17"/>
  <c r="C145" i="17"/>
  <c r="B145" i="17"/>
  <c r="C144" i="17"/>
  <c r="B144" i="17"/>
  <c r="C143" i="17"/>
  <c r="B143" i="17"/>
  <c r="C142" i="17"/>
  <c r="B142" i="17"/>
  <c r="C141" i="17"/>
  <c r="B141" i="17"/>
  <c r="C140" i="17"/>
  <c r="B140" i="17"/>
  <c r="C139" i="17"/>
  <c r="B139" i="17"/>
  <c r="C138" i="17"/>
  <c r="B138" i="17"/>
  <c r="C137" i="17"/>
  <c r="B137" i="17"/>
  <c r="C136" i="17"/>
  <c r="B136" i="17"/>
  <c r="C135" i="17"/>
  <c r="B135" i="17"/>
  <c r="C134" i="17"/>
  <c r="B134" i="17"/>
  <c r="C133" i="17"/>
  <c r="B133" i="17"/>
  <c r="C132" i="17"/>
  <c r="B132" i="17"/>
  <c r="C131" i="17"/>
  <c r="B131" i="17"/>
  <c r="C130" i="17"/>
  <c r="B130" i="17"/>
  <c r="C129" i="17"/>
  <c r="B129" i="17"/>
  <c r="C128" i="17"/>
  <c r="B128" i="17"/>
  <c r="C127" i="17"/>
  <c r="B127" i="17"/>
  <c r="C126" i="17"/>
  <c r="B126" i="17"/>
  <c r="C125" i="17"/>
  <c r="B125" i="17"/>
  <c r="C124" i="17"/>
  <c r="B124" i="17"/>
  <c r="C123" i="17"/>
  <c r="B123" i="17"/>
  <c r="C122" i="17"/>
  <c r="B122" i="17"/>
  <c r="C121" i="17"/>
  <c r="B121" i="17"/>
  <c r="C120" i="17"/>
  <c r="B120" i="17"/>
  <c r="C119" i="17"/>
  <c r="B119" i="17"/>
  <c r="C118" i="17"/>
  <c r="B118" i="17"/>
  <c r="C117" i="17"/>
  <c r="B117" i="17"/>
  <c r="C116" i="17"/>
  <c r="B116" i="17"/>
  <c r="C115" i="17"/>
  <c r="B115" i="17"/>
  <c r="C114" i="17"/>
  <c r="B114" i="17"/>
  <c r="C113" i="17"/>
  <c r="B113" i="17"/>
  <c r="C112" i="17"/>
  <c r="B112" i="17"/>
  <c r="C111" i="17"/>
  <c r="B111" i="17"/>
  <c r="C110" i="17"/>
  <c r="B110" i="17"/>
  <c r="C109" i="17"/>
  <c r="B109" i="17"/>
  <c r="C108" i="17"/>
  <c r="B108" i="17"/>
  <c r="C107" i="17"/>
  <c r="B107" i="17"/>
  <c r="C106" i="17"/>
  <c r="B106" i="17"/>
  <c r="C105" i="17"/>
  <c r="B105" i="17"/>
  <c r="C104" i="17"/>
  <c r="B104" i="17"/>
  <c r="C103" i="17"/>
  <c r="B103" i="17"/>
  <c r="C102" i="17"/>
  <c r="B102" i="17"/>
  <c r="C101" i="17"/>
  <c r="B101" i="17"/>
  <c r="C100" i="17"/>
  <c r="B100" i="17"/>
  <c r="C99" i="17"/>
  <c r="B99" i="17"/>
  <c r="C98" i="17"/>
  <c r="B98" i="17"/>
  <c r="C97" i="17"/>
  <c r="B97" i="17"/>
  <c r="C96" i="17"/>
  <c r="B96" i="17"/>
  <c r="C95" i="17"/>
  <c r="B95" i="17"/>
  <c r="C94" i="17"/>
  <c r="B94" i="17"/>
  <c r="C93" i="17"/>
  <c r="B93" i="17"/>
  <c r="C92" i="17"/>
  <c r="B92" i="17"/>
  <c r="C91" i="17"/>
  <c r="B91" i="17"/>
  <c r="C90" i="17"/>
  <c r="B90" i="17"/>
  <c r="C89" i="17"/>
  <c r="B89" i="17"/>
  <c r="C88" i="17"/>
  <c r="B88" i="17"/>
  <c r="C87" i="17"/>
  <c r="B87" i="17"/>
  <c r="C86" i="17"/>
  <c r="B86" i="17"/>
  <c r="C85" i="17"/>
  <c r="B85" i="17"/>
  <c r="C84" i="17"/>
  <c r="B84" i="17"/>
  <c r="C83" i="17"/>
  <c r="B83" i="17"/>
  <c r="C82" i="17"/>
  <c r="B82" i="17"/>
  <c r="C81" i="17"/>
  <c r="B81" i="17"/>
  <c r="C80" i="17"/>
  <c r="B80" i="17"/>
  <c r="C79" i="17"/>
  <c r="B79" i="17"/>
  <c r="C78" i="17"/>
  <c r="B78" i="17"/>
  <c r="C77" i="17"/>
  <c r="B77" i="17"/>
  <c r="C76" i="17"/>
  <c r="B76" i="17"/>
  <c r="C75" i="17"/>
  <c r="B75" i="17"/>
  <c r="C74" i="17"/>
  <c r="B74" i="17"/>
  <c r="C73" i="17"/>
  <c r="B73" i="17"/>
  <c r="C72" i="17"/>
  <c r="B72" i="17"/>
  <c r="C71" i="17"/>
  <c r="B71" i="17"/>
  <c r="C70" i="17"/>
  <c r="B70" i="17"/>
  <c r="C69" i="17"/>
  <c r="B69" i="17"/>
  <c r="C68" i="17"/>
  <c r="B68" i="17"/>
  <c r="C67" i="17"/>
  <c r="B67" i="17"/>
  <c r="C66" i="17"/>
  <c r="B66" i="17"/>
  <c r="C65" i="17"/>
  <c r="B65" i="17"/>
  <c r="C64" i="17"/>
  <c r="B64" i="17"/>
  <c r="C63" i="17"/>
  <c r="B63" i="17"/>
  <c r="C62" i="17"/>
  <c r="B62" i="17"/>
  <c r="C61" i="17"/>
  <c r="B61" i="17"/>
  <c r="C60" i="17"/>
  <c r="B60" i="17"/>
  <c r="C59" i="17"/>
  <c r="B59" i="17"/>
  <c r="C58" i="17"/>
  <c r="B58" i="17"/>
  <c r="C57" i="17"/>
  <c r="B57" i="17"/>
  <c r="C56" i="17"/>
  <c r="B56" i="17"/>
  <c r="C55" i="17"/>
  <c r="B55" i="17"/>
  <c r="C54" i="17"/>
  <c r="B54" i="17"/>
  <c r="C53" i="17"/>
  <c r="B53" i="17"/>
  <c r="C52" i="17"/>
  <c r="B52" i="17"/>
  <c r="C51" i="17"/>
  <c r="B51" i="17"/>
  <c r="C50" i="17"/>
  <c r="B50" i="17"/>
  <c r="C49" i="17"/>
  <c r="B49" i="17"/>
  <c r="C48" i="17"/>
  <c r="B48" i="17"/>
  <c r="C47" i="17"/>
  <c r="B47" i="17"/>
  <c r="C46" i="17"/>
  <c r="B46" i="17"/>
  <c r="C45" i="17"/>
  <c r="B45" i="17"/>
  <c r="C514" i="16"/>
  <c r="B514" i="16"/>
  <c r="C513" i="16"/>
  <c r="B513" i="16"/>
  <c r="C512" i="16"/>
  <c r="B512" i="16"/>
  <c r="C511" i="16"/>
  <c r="B511" i="16"/>
  <c r="C510" i="16"/>
  <c r="B510" i="16"/>
  <c r="C509" i="16"/>
  <c r="B509" i="16"/>
  <c r="C508" i="16"/>
  <c r="B508" i="16"/>
  <c r="C507" i="16"/>
  <c r="B507" i="16"/>
  <c r="C506" i="16"/>
  <c r="B506" i="16"/>
  <c r="C505" i="16"/>
  <c r="B505" i="16"/>
  <c r="C504" i="16"/>
  <c r="B504" i="16"/>
  <c r="C503" i="16"/>
  <c r="B503" i="16"/>
  <c r="C502" i="16"/>
  <c r="B502" i="16"/>
  <c r="C501" i="16"/>
  <c r="B501" i="16"/>
  <c r="C500" i="16"/>
  <c r="B500" i="16"/>
  <c r="C499" i="16"/>
  <c r="B499" i="16"/>
  <c r="C498" i="16"/>
  <c r="B498" i="16"/>
  <c r="C497" i="16"/>
  <c r="B497" i="16"/>
  <c r="C496" i="16"/>
  <c r="B496" i="16"/>
  <c r="C495" i="16"/>
  <c r="B495" i="16"/>
  <c r="C494" i="16"/>
  <c r="B494" i="16"/>
  <c r="C493" i="16"/>
  <c r="B493" i="16"/>
  <c r="C492" i="16"/>
  <c r="B492" i="16"/>
  <c r="C491" i="16"/>
  <c r="B491" i="16"/>
  <c r="C490" i="16"/>
  <c r="B490" i="16"/>
  <c r="C489" i="16"/>
  <c r="B489" i="16"/>
  <c r="C488" i="16"/>
  <c r="B488" i="16"/>
  <c r="C487" i="16"/>
  <c r="B487" i="16"/>
  <c r="C486" i="16"/>
  <c r="B486" i="16"/>
  <c r="C485" i="16"/>
  <c r="B485" i="16"/>
  <c r="C484" i="16"/>
  <c r="B484" i="16"/>
  <c r="C483" i="16"/>
  <c r="B483" i="16"/>
  <c r="C482" i="16"/>
  <c r="B482" i="16"/>
  <c r="C481" i="16"/>
  <c r="B481" i="16"/>
  <c r="C480" i="16"/>
  <c r="B480" i="16"/>
  <c r="C479" i="16"/>
  <c r="B479" i="16"/>
  <c r="C478" i="16"/>
  <c r="B478" i="16"/>
  <c r="C477" i="16"/>
  <c r="B477" i="16"/>
  <c r="C476" i="16"/>
  <c r="B476" i="16"/>
  <c r="C475" i="16"/>
  <c r="B475" i="16"/>
  <c r="C474" i="16"/>
  <c r="B474" i="16"/>
  <c r="C473" i="16"/>
  <c r="B473" i="16"/>
  <c r="C472" i="16"/>
  <c r="B472" i="16"/>
  <c r="C471" i="16"/>
  <c r="B471" i="16"/>
  <c r="C470" i="16"/>
  <c r="B470" i="16"/>
  <c r="C469" i="16"/>
  <c r="B469" i="16"/>
  <c r="C468" i="16"/>
  <c r="B468" i="16"/>
  <c r="C467" i="16"/>
  <c r="B467" i="16"/>
  <c r="C466" i="16"/>
  <c r="B466" i="16"/>
  <c r="C465" i="16"/>
  <c r="B465" i="16"/>
  <c r="C464" i="16"/>
  <c r="B464" i="16"/>
  <c r="C463" i="16"/>
  <c r="B463" i="16"/>
  <c r="C462" i="16"/>
  <c r="B462" i="16"/>
  <c r="C461" i="16"/>
  <c r="B461" i="16"/>
  <c r="C460" i="16"/>
  <c r="B460" i="16"/>
  <c r="C459" i="16"/>
  <c r="B459" i="16"/>
  <c r="C458" i="16"/>
  <c r="B458" i="16"/>
  <c r="C457" i="16"/>
  <c r="B457" i="16"/>
  <c r="C456" i="16"/>
  <c r="B456" i="16"/>
  <c r="C455" i="16"/>
  <c r="B455" i="16"/>
  <c r="C454" i="16"/>
  <c r="B454" i="16"/>
  <c r="C453" i="16"/>
  <c r="B453" i="16"/>
  <c r="C452" i="16"/>
  <c r="B452" i="16"/>
  <c r="C451" i="16"/>
  <c r="B451" i="16"/>
  <c r="C450" i="16"/>
  <c r="B450" i="16"/>
  <c r="C449" i="16"/>
  <c r="B449" i="16"/>
  <c r="C448" i="16"/>
  <c r="B448" i="16"/>
  <c r="C447" i="16"/>
  <c r="B447" i="16"/>
  <c r="C446" i="16"/>
  <c r="B446" i="16"/>
  <c r="C445" i="16"/>
  <c r="B445" i="16"/>
  <c r="C444" i="16"/>
  <c r="B444" i="16"/>
  <c r="C443" i="16"/>
  <c r="B443" i="16"/>
  <c r="C442" i="16"/>
  <c r="B442" i="16"/>
  <c r="C441" i="16"/>
  <c r="B441" i="16"/>
  <c r="C440" i="16"/>
  <c r="B440" i="16"/>
  <c r="C439" i="16"/>
  <c r="B439" i="16"/>
  <c r="C438" i="16"/>
  <c r="B438" i="16"/>
  <c r="C437" i="16"/>
  <c r="B437" i="16"/>
  <c r="C436" i="16"/>
  <c r="B436" i="16"/>
  <c r="C435" i="16"/>
  <c r="B435" i="16"/>
  <c r="C434" i="16"/>
  <c r="B434" i="16"/>
  <c r="C433" i="16"/>
  <c r="B433" i="16"/>
  <c r="C432" i="16"/>
  <c r="B432" i="16"/>
  <c r="C431" i="16"/>
  <c r="B431" i="16"/>
  <c r="C430" i="16"/>
  <c r="B430" i="16"/>
  <c r="C429" i="16"/>
  <c r="B429" i="16"/>
  <c r="C428" i="16"/>
  <c r="B428" i="16"/>
  <c r="C427" i="16"/>
  <c r="B427" i="16"/>
  <c r="C426" i="16"/>
  <c r="B426" i="16"/>
  <c r="C425" i="16"/>
  <c r="B425" i="16"/>
  <c r="C424" i="16"/>
  <c r="B424" i="16"/>
  <c r="C423" i="16"/>
  <c r="B423" i="16"/>
  <c r="C422" i="16"/>
  <c r="B422" i="16"/>
  <c r="C421" i="16"/>
  <c r="B421" i="16"/>
  <c r="C420" i="16"/>
  <c r="B420" i="16"/>
  <c r="C419" i="16"/>
  <c r="B419" i="16"/>
  <c r="C418" i="16"/>
  <c r="B418" i="16"/>
  <c r="C417" i="16"/>
  <c r="B417" i="16"/>
  <c r="C416" i="16"/>
  <c r="B416" i="16"/>
  <c r="C415" i="16"/>
  <c r="B415" i="16"/>
  <c r="C414" i="16"/>
  <c r="B414" i="16"/>
  <c r="C413" i="16"/>
  <c r="B413" i="16"/>
  <c r="C412" i="16"/>
  <c r="B412" i="16"/>
  <c r="C411" i="16"/>
  <c r="B411" i="16"/>
  <c r="C410" i="16"/>
  <c r="B410" i="16"/>
  <c r="C409" i="16"/>
  <c r="B409" i="16"/>
  <c r="C408" i="16"/>
  <c r="B408" i="16"/>
  <c r="C407" i="16"/>
  <c r="B407" i="16"/>
  <c r="C406" i="16"/>
  <c r="B406" i="16"/>
  <c r="C405" i="16"/>
  <c r="B405" i="16"/>
  <c r="C404" i="16"/>
  <c r="B404" i="16"/>
  <c r="C403" i="16"/>
  <c r="B403" i="16"/>
  <c r="C402" i="16"/>
  <c r="B402" i="16"/>
  <c r="C401" i="16"/>
  <c r="B401" i="16"/>
  <c r="C400" i="16"/>
  <c r="B400" i="16"/>
  <c r="C399" i="16"/>
  <c r="B399" i="16"/>
  <c r="C398" i="16"/>
  <c r="B398" i="16"/>
  <c r="C397" i="16"/>
  <c r="B397" i="16"/>
  <c r="C396" i="16"/>
  <c r="B396" i="16"/>
  <c r="C395" i="16"/>
  <c r="B395" i="16"/>
  <c r="C394" i="16"/>
  <c r="B394" i="16"/>
  <c r="C393" i="16"/>
  <c r="B393" i="16"/>
  <c r="C392" i="16"/>
  <c r="B392" i="16"/>
  <c r="C391" i="16"/>
  <c r="B391" i="16"/>
  <c r="C390" i="16"/>
  <c r="B390" i="16"/>
  <c r="C389" i="16"/>
  <c r="B389" i="16"/>
  <c r="C388" i="16"/>
  <c r="B388" i="16"/>
  <c r="C387" i="16"/>
  <c r="B387" i="16"/>
  <c r="C386" i="16"/>
  <c r="B386" i="16"/>
  <c r="C385" i="16"/>
  <c r="B385" i="16"/>
  <c r="C384" i="16"/>
  <c r="B384" i="16"/>
  <c r="C383" i="16"/>
  <c r="B383" i="16"/>
  <c r="C382" i="16"/>
  <c r="B382" i="16"/>
  <c r="C381" i="16"/>
  <c r="B381" i="16"/>
  <c r="C380" i="16"/>
  <c r="B380" i="16"/>
  <c r="C379" i="16"/>
  <c r="B379" i="16"/>
  <c r="C378" i="16"/>
  <c r="B378" i="16"/>
  <c r="C377" i="16"/>
  <c r="B377" i="16"/>
  <c r="C376" i="16"/>
  <c r="B376" i="16"/>
  <c r="C375" i="16"/>
  <c r="B375" i="16"/>
  <c r="C374" i="16"/>
  <c r="B374" i="16"/>
  <c r="C373" i="16"/>
  <c r="B373" i="16"/>
  <c r="C372" i="16"/>
  <c r="B372" i="16"/>
  <c r="C371" i="16"/>
  <c r="B371" i="16"/>
  <c r="C370" i="16"/>
  <c r="B370" i="16"/>
  <c r="C369" i="16"/>
  <c r="B369" i="16"/>
  <c r="C368" i="16"/>
  <c r="B368" i="16"/>
  <c r="C367" i="16"/>
  <c r="B367" i="16"/>
  <c r="C366" i="16"/>
  <c r="B366" i="16"/>
  <c r="C365" i="16"/>
  <c r="B365" i="16"/>
  <c r="C364" i="16"/>
  <c r="B364" i="16"/>
  <c r="C363" i="16"/>
  <c r="B363" i="16"/>
  <c r="C362" i="16"/>
  <c r="B362" i="16"/>
  <c r="C361" i="16"/>
  <c r="B361" i="16"/>
  <c r="C360" i="16"/>
  <c r="B360" i="16"/>
  <c r="C359" i="16"/>
  <c r="B359" i="16"/>
  <c r="C358" i="16"/>
  <c r="B358" i="16"/>
  <c r="C357" i="16"/>
  <c r="B357" i="16"/>
  <c r="C356" i="16"/>
  <c r="B356" i="16"/>
  <c r="C355" i="16"/>
  <c r="B355" i="16"/>
  <c r="C354" i="16"/>
  <c r="B354" i="16"/>
  <c r="C353" i="16"/>
  <c r="B353" i="16"/>
  <c r="C352" i="16"/>
  <c r="B352" i="16"/>
  <c r="C351" i="16"/>
  <c r="B351" i="16"/>
  <c r="C350" i="16"/>
  <c r="B350" i="16"/>
  <c r="C349" i="16"/>
  <c r="B349" i="16"/>
  <c r="C348" i="16"/>
  <c r="B348" i="16"/>
  <c r="C347" i="16"/>
  <c r="B347" i="16"/>
  <c r="C346" i="16"/>
  <c r="B346" i="16"/>
  <c r="C345" i="16"/>
  <c r="B345" i="16"/>
  <c r="C344" i="16"/>
  <c r="B344" i="16"/>
  <c r="C343" i="16"/>
  <c r="B343" i="16"/>
  <c r="C342" i="16"/>
  <c r="B342" i="16"/>
  <c r="C341" i="16"/>
  <c r="B341" i="16"/>
  <c r="C340" i="16"/>
  <c r="B340" i="16"/>
  <c r="C339" i="16"/>
  <c r="B339" i="16"/>
  <c r="C338" i="16"/>
  <c r="B338" i="16"/>
  <c r="C337" i="16"/>
  <c r="B337" i="16"/>
  <c r="C336" i="16"/>
  <c r="B336" i="16"/>
  <c r="C335" i="16"/>
  <c r="B335" i="16"/>
  <c r="C334" i="16"/>
  <c r="B334" i="16"/>
  <c r="C333" i="16"/>
  <c r="B333" i="16"/>
  <c r="C332" i="16"/>
  <c r="B332" i="16"/>
  <c r="C331" i="16"/>
  <c r="B331" i="16"/>
  <c r="C330" i="16"/>
  <c r="B330" i="16"/>
  <c r="C329" i="16"/>
  <c r="B329" i="16"/>
  <c r="C328" i="16"/>
  <c r="B328" i="16"/>
  <c r="C327" i="16"/>
  <c r="B327" i="16"/>
  <c r="C326" i="16"/>
  <c r="B326" i="16"/>
  <c r="C325" i="16"/>
  <c r="B325" i="16"/>
  <c r="C324" i="16"/>
  <c r="B324" i="16"/>
  <c r="C323" i="16"/>
  <c r="B323" i="16"/>
  <c r="C322" i="16"/>
  <c r="B322" i="16"/>
  <c r="C321" i="16"/>
  <c r="B321" i="16"/>
  <c r="C320" i="16"/>
  <c r="B320" i="16"/>
  <c r="C319" i="16"/>
  <c r="B319" i="16"/>
  <c r="C318" i="16"/>
  <c r="B318" i="16"/>
  <c r="C317" i="16"/>
  <c r="B317" i="16"/>
  <c r="C316" i="16"/>
  <c r="B316" i="16"/>
  <c r="C315" i="16"/>
  <c r="B315" i="16"/>
  <c r="C314" i="16"/>
  <c r="B314" i="16"/>
  <c r="C313" i="16"/>
  <c r="B313" i="16"/>
  <c r="C312" i="16"/>
  <c r="B312" i="16"/>
  <c r="C311" i="16"/>
  <c r="B311" i="16"/>
  <c r="C310" i="16"/>
  <c r="B310" i="16"/>
  <c r="C309" i="16"/>
  <c r="B309" i="16"/>
  <c r="C308" i="16"/>
  <c r="B308" i="16"/>
  <c r="C307" i="16"/>
  <c r="B307" i="16"/>
  <c r="C306" i="16"/>
  <c r="B306" i="16"/>
  <c r="C305" i="16"/>
  <c r="B305" i="16"/>
  <c r="C304" i="16"/>
  <c r="B304" i="16"/>
  <c r="C303" i="16"/>
  <c r="B303" i="16"/>
  <c r="C302" i="16"/>
  <c r="B302" i="16"/>
  <c r="C301" i="16"/>
  <c r="B301" i="16"/>
  <c r="C300" i="16"/>
  <c r="B300" i="16"/>
  <c r="C299" i="16"/>
  <c r="B299" i="16"/>
  <c r="C298" i="16"/>
  <c r="B298" i="16"/>
  <c r="C297" i="16"/>
  <c r="B297" i="16"/>
  <c r="C296" i="16"/>
  <c r="B296" i="16"/>
  <c r="C295" i="16"/>
  <c r="B295" i="16"/>
  <c r="C294" i="16"/>
  <c r="B294" i="16"/>
  <c r="C293" i="16"/>
  <c r="B293" i="16"/>
  <c r="C292" i="16"/>
  <c r="B292" i="16"/>
  <c r="C291" i="16"/>
  <c r="B291" i="16"/>
  <c r="C290" i="16"/>
  <c r="B290" i="16"/>
  <c r="C289" i="16"/>
  <c r="B289" i="16"/>
  <c r="C288" i="16"/>
  <c r="B288" i="16"/>
  <c r="C287" i="16"/>
  <c r="B287" i="16"/>
  <c r="C286" i="16"/>
  <c r="B286" i="16"/>
  <c r="C285" i="16"/>
  <c r="B285" i="16"/>
  <c r="C284" i="16"/>
  <c r="B284" i="16"/>
  <c r="C283" i="16"/>
  <c r="B283" i="16"/>
  <c r="C282" i="16"/>
  <c r="B282" i="16"/>
  <c r="C281" i="16"/>
  <c r="B281" i="16"/>
  <c r="C280" i="16"/>
  <c r="B280" i="16"/>
  <c r="C279" i="16"/>
  <c r="B279" i="16"/>
  <c r="C278" i="16"/>
  <c r="B278" i="16"/>
  <c r="C277" i="16"/>
  <c r="B277" i="16"/>
  <c r="C276" i="16"/>
  <c r="B276" i="16"/>
  <c r="C275" i="16"/>
  <c r="B275" i="16"/>
  <c r="C274" i="16"/>
  <c r="B274" i="16"/>
  <c r="C273" i="16"/>
  <c r="B273" i="16"/>
  <c r="C272" i="16"/>
  <c r="B272" i="16"/>
  <c r="C271" i="16"/>
  <c r="B271" i="16"/>
  <c r="C270" i="16"/>
  <c r="B270" i="16"/>
  <c r="C269" i="16"/>
  <c r="B269" i="16"/>
  <c r="C268" i="16"/>
  <c r="B268" i="16"/>
  <c r="C267" i="16"/>
  <c r="B267" i="16"/>
  <c r="C266" i="16"/>
  <c r="B266" i="16"/>
  <c r="C265" i="16"/>
  <c r="B265" i="16"/>
  <c r="C264" i="16"/>
  <c r="B264" i="16"/>
  <c r="C263" i="16"/>
  <c r="B263" i="16"/>
  <c r="C262" i="16"/>
  <c r="B262" i="16"/>
  <c r="C261" i="16"/>
  <c r="B261" i="16"/>
  <c r="C260" i="16"/>
  <c r="B260" i="16"/>
  <c r="C259" i="16"/>
  <c r="B259" i="16"/>
  <c r="C258" i="16"/>
  <c r="B258" i="16"/>
  <c r="C257" i="16"/>
  <c r="B257" i="16"/>
  <c r="C256" i="16"/>
  <c r="B256" i="16"/>
  <c r="C255" i="16"/>
  <c r="B255" i="16"/>
  <c r="C254" i="16"/>
  <c r="B254" i="16"/>
  <c r="C253" i="16"/>
  <c r="B253" i="16"/>
  <c r="C252" i="16"/>
  <c r="B252" i="16"/>
  <c r="C251" i="16"/>
  <c r="B251" i="16"/>
  <c r="C250" i="16"/>
  <c r="B250" i="16"/>
  <c r="C249" i="16"/>
  <c r="B249" i="16"/>
  <c r="C248" i="16"/>
  <c r="B248" i="16"/>
  <c r="C247" i="16"/>
  <c r="B247" i="16"/>
  <c r="C246" i="16"/>
  <c r="B246" i="16"/>
  <c r="C245" i="16"/>
  <c r="B245" i="16"/>
  <c r="C244" i="16"/>
  <c r="B244" i="16"/>
  <c r="C243" i="16"/>
  <c r="B243" i="16"/>
  <c r="C242" i="16"/>
  <c r="B242" i="16"/>
  <c r="C241" i="16"/>
  <c r="B241" i="16"/>
  <c r="C240" i="16"/>
  <c r="B240" i="16"/>
  <c r="C239" i="16"/>
  <c r="B239" i="16"/>
  <c r="C238" i="16"/>
  <c r="B238" i="16"/>
  <c r="C237" i="16"/>
  <c r="B237" i="16"/>
  <c r="C236" i="16"/>
  <c r="B236" i="16"/>
  <c r="C235" i="16"/>
  <c r="B235" i="16"/>
  <c r="C234" i="16"/>
  <c r="B234" i="16"/>
  <c r="C233" i="16"/>
  <c r="B233" i="16"/>
  <c r="C232" i="16"/>
  <c r="B232" i="16"/>
  <c r="C231" i="16"/>
  <c r="B231" i="16"/>
  <c r="C230" i="16"/>
  <c r="B230" i="16"/>
  <c r="C229" i="16"/>
  <c r="B229" i="16"/>
  <c r="C228" i="16"/>
  <c r="B228" i="16"/>
  <c r="C227" i="16"/>
  <c r="B227" i="16"/>
  <c r="C226" i="16"/>
  <c r="B226" i="16"/>
  <c r="C225" i="16"/>
  <c r="B225" i="16"/>
  <c r="C224" i="16"/>
  <c r="B224" i="16"/>
  <c r="C223" i="16"/>
  <c r="B223" i="16"/>
  <c r="C222" i="16"/>
  <c r="B222" i="16"/>
  <c r="C221" i="16"/>
  <c r="B221" i="16"/>
  <c r="C220" i="16"/>
  <c r="B220" i="16"/>
  <c r="C219" i="16"/>
  <c r="B219" i="16"/>
  <c r="C218" i="16"/>
  <c r="B218" i="16"/>
  <c r="C217" i="16"/>
  <c r="B217" i="16"/>
  <c r="C216" i="16"/>
  <c r="B216" i="16"/>
  <c r="C215" i="16"/>
  <c r="B215" i="16"/>
  <c r="C214" i="16"/>
  <c r="B214" i="16"/>
  <c r="C213" i="16"/>
  <c r="B213" i="16"/>
  <c r="C212" i="16"/>
  <c r="B212" i="16"/>
  <c r="C211" i="16"/>
  <c r="B211" i="16"/>
  <c r="C210" i="16"/>
  <c r="B210" i="16"/>
  <c r="C209" i="16"/>
  <c r="B209" i="16"/>
  <c r="C208" i="16"/>
  <c r="B208" i="16"/>
  <c r="C207" i="16"/>
  <c r="B207" i="16"/>
  <c r="C206" i="16"/>
  <c r="B206" i="16"/>
  <c r="C205" i="16"/>
  <c r="B205" i="16"/>
  <c r="C204" i="16"/>
  <c r="B204" i="16"/>
  <c r="C203" i="16"/>
  <c r="B203" i="16"/>
  <c r="C202" i="16"/>
  <c r="B202" i="16"/>
  <c r="C201" i="16"/>
  <c r="B201" i="16"/>
  <c r="C200" i="16"/>
  <c r="B200" i="16"/>
  <c r="C199" i="16"/>
  <c r="B199" i="16"/>
  <c r="C198" i="16"/>
  <c r="B198" i="16"/>
  <c r="C197" i="16"/>
  <c r="B197" i="16"/>
  <c r="C196" i="16"/>
  <c r="B196" i="16"/>
  <c r="C195" i="16"/>
  <c r="B195" i="16"/>
  <c r="C194" i="16"/>
  <c r="B194" i="16"/>
  <c r="C193" i="16"/>
  <c r="B193" i="16"/>
  <c r="C192" i="16"/>
  <c r="B192" i="16"/>
  <c r="C191" i="16"/>
  <c r="B191" i="16"/>
  <c r="C190" i="16"/>
  <c r="B190" i="16"/>
  <c r="C189" i="16"/>
  <c r="B189" i="16"/>
  <c r="C188" i="16"/>
  <c r="B188" i="16"/>
  <c r="C187" i="16"/>
  <c r="B187" i="16"/>
  <c r="C186" i="16"/>
  <c r="B186" i="16"/>
  <c r="C185" i="16"/>
  <c r="B185" i="16"/>
  <c r="C184" i="16"/>
  <c r="B184" i="16"/>
  <c r="C183" i="16"/>
  <c r="B183" i="16"/>
  <c r="C182" i="16"/>
  <c r="B182" i="16"/>
  <c r="C181" i="16"/>
  <c r="B181" i="16"/>
  <c r="C180" i="16"/>
  <c r="B180" i="16"/>
  <c r="C179" i="16"/>
  <c r="B179" i="16"/>
  <c r="C178" i="16"/>
  <c r="B178" i="16"/>
  <c r="C177" i="16"/>
  <c r="B177" i="16"/>
  <c r="C176" i="16"/>
  <c r="B176" i="16"/>
  <c r="C175" i="16"/>
  <c r="B175" i="16"/>
  <c r="C174" i="16"/>
  <c r="B174" i="16"/>
  <c r="C173" i="16"/>
  <c r="B173" i="16"/>
  <c r="C172" i="16"/>
  <c r="B172" i="16"/>
  <c r="C171" i="16"/>
  <c r="B171" i="16"/>
  <c r="C170" i="16"/>
  <c r="B170" i="16"/>
  <c r="C169" i="16"/>
  <c r="B169" i="16"/>
  <c r="C168" i="16"/>
  <c r="B168" i="16"/>
  <c r="C167" i="16"/>
  <c r="B167" i="16"/>
  <c r="C166" i="16"/>
  <c r="B166" i="16"/>
  <c r="C165" i="16"/>
  <c r="B165" i="16"/>
  <c r="C164" i="16"/>
  <c r="B164" i="16"/>
  <c r="C163" i="16"/>
  <c r="B163" i="16"/>
  <c r="C162" i="16"/>
  <c r="B162" i="16"/>
  <c r="C161" i="16"/>
  <c r="B161" i="16"/>
  <c r="C160" i="16"/>
  <c r="B160" i="16"/>
  <c r="C159" i="16"/>
  <c r="B159" i="16"/>
  <c r="C158" i="16"/>
  <c r="B158" i="16"/>
  <c r="C157" i="16"/>
  <c r="B157" i="16"/>
  <c r="C156" i="16"/>
  <c r="B156" i="16"/>
  <c r="C155" i="16"/>
  <c r="B155" i="16"/>
  <c r="C154" i="16"/>
  <c r="B154" i="16"/>
  <c r="C153" i="16"/>
  <c r="B153" i="16"/>
  <c r="C152" i="16"/>
  <c r="B152" i="16"/>
  <c r="C151" i="16"/>
  <c r="B151" i="16"/>
  <c r="C150" i="16"/>
  <c r="B150" i="16"/>
  <c r="C149" i="16"/>
  <c r="B149" i="16"/>
  <c r="C148" i="16"/>
  <c r="B148" i="16"/>
  <c r="C147" i="16"/>
  <c r="B147" i="16"/>
  <c r="C146" i="16"/>
  <c r="B146" i="16"/>
  <c r="C145" i="16"/>
  <c r="B145" i="16"/>
  <c r="C144" i="16"/>
  <c r="B144" i="16"/>
  <c r="C143" i="16"/>
  <c r="B143" i="16"/>
  <c r="C142" i="16"/>
  <c r="B142" i="16"/>
  <c r="C141" i="16"/>
  <c r="B141" i="16"/>
  <c r="C140" i="16"/>
  <c r="B140" i="16"/>
  <c r="C139" i="16"/>
  <c r="B139" i="16"/>
  <c r="C138" i="16"/>
  <c r="B138" i="16"/>
  <c r="C137" i="16"/>
  <c r="B137" i="16"/>
  <c r="C136" i="16"/>
  <c r="B136" i="16"/>
  <c r="C135" i="16"/>
  <c r="B135" i="16"/>
  <c r="C134" i="16"/>
  <c r="B134" i="16"/>
  <c r="C133" i="16"/>
  <c r="B133" i="16"/>
  <c r="C132" i="16"/>
  <c r="B132" i="16"/>
  <c r="C131" i="16"/>
  <c r="B131" i="16"/>
  <c r="C130" i="16"/>
  <c r="B130" i="16"/>
  <c r="C129" i="16"/>
  <c r="B129" i="16"/>
  <c r="C128" i="16"/>
  <c r="B128" i="16"/>
  <c r="C127" i="16"/>
  <c r="B127" i="16"/>
  <c r="C126" i="16"/>
  <c r="B126" i="16"/>
  <c r="C125" i="16"/>
  <c r="B125" i="16"/>
  <c r="C124" i="16"/>
  <c r="B124" i="16"/>
  <c r="C123" i="16"/>
  <c r="B123" i="16"/>
  <c r="C122" i="16"/>
  <c r="B122" i="16"/>
  <c r="C121" i="16"/>
  <c r="B121" i="16"/>
  <c r="C120" i="16"/>
  <c r="B120" i="16"/>
  <c r="C119" i="16"/>
  <c r="B119" i="16"/>
  <c r="C118" i="16"/>
  <c r="B118" i="16"/>
  <c r="C117" i="16"/>
  <c r="B117" i="16"/>
  <c r="C116" i="16"/>
  <c r="B116" i="16"/>
  <c r="C115" i="16"/>
  <c r="B115" i="16"/>
  <c r="C114" i="16"/>
  <c r="B114" i="16"/>
  <c r="C113" i="16"/>
  <c r="B113" i="16"/>
  <c r="C112" i="16"/>
  <c r="B112" i="16"/>
  <c r="C111" i="16"/>
  <c r="B111" i="16"/>
  <c r="C110" i="16"/>
  <c r="B110" i="16"/>
  <c r="C109" i="16"/>
  <c r="B109" i="16"/>
  <c r="C108" i="16"/>
  <c r="B108" i="16"/>
  <c r="C107" i="16"/>
  <c r="B107" i="16"/>
  <c r="C106" i="16"/>
  <c r="B106" i="16"/>
  <c r="C105" i="16"/>
  <c r="B105" i="16"/>
  <c r="C104" i="16"/>
  <c r="B104" i="16"/>
  <c r="C103" i="16"/>
  <c r="B103" i="16"/>
  <c r="C102" i="16"/>
  <c r="B102" i="16"/>
  <c r="C101" i="16"/>
  <c r="B101" i="16"/>
  <c r="C100" i="16"/>
  <c r="B100" i="16"/>
  <c r="C99" i="16"/>
  <c r="B99" i="16"/>
  <c r="C98" i="16"/>
  <c r="B98" i="16"/>
  <c r="C97" i="16"/>
  <c r="B97" i="16"/>
  <c r="C96" i="16"/>
  <c r="B96" i="16"/>
  <c r="C95" i="16"/>
  <c r="B95" i="16"/>
  <c r="C94" i="16"/>
  <c r="B94" i="16"/>
  <c r="C93" i="16"/>
  <c r="B93" i="16"/>
  <c r="C92" i="16"/>
  <c r="B92" i="16"/>
  <c r="C91" i="16"/>
  <c r="B91" i="16"/>
  <c r="C90" i="16"/>
  <c r="B90" i="16"/>
  <c r="C89" i="16"/>
  <c r="B89" i="16"/>
  <c r="C88" i="16"/>
  <c r="B88" i="16"/>
  <c r="C87" i="16"/>
  <c r="B87" i="16"/>
  <c r="C86" i="16"/>
  <c r="B86" i="16"/>
  <c r="C85" i="16"/>
  <c r="B85" i="16"/>
  <c r="C84" i="16"/>
  <c r="B84" i="16"/>
  <c r="C83" i="16"/>
  <c r="B83" i="16"/>
  <c r="C82" i="16"/>
  <c r="B82" i="16"/>
  <c r="C81" i="16"/>
  <c r="B81" i="16"/>
  <c r="C80" i="16"/>
  <c r="B80" i="16"/>
  <c r="C79" i="16"/>
  <c r="B79" i="16"/>
  <c r="C78" i="16"/>
  <c r="B78" i="16"/>
  <c r="C77" i="16"/>
  <c r="B77" i="16"/>
  <c r="C76" i="16"/>
  <c r="B76" i="16"/>
  <c r="C75" i="16"/>
  <c r="B75" i="16"/>
  <c r="C74" i="16"/>
  <c r="B74" i="16"/>
  <c r="C73" i="16"/>
  <c r="B73" i="16"/>
  <c r="C72" i="16"/>
  <c r="B72" i="16"/>
  <c r="C71" i="16"/>
  <c r="B71" i="16"/>
  <c r="C70" i="16"/>
  <c r="B70" i="16"/>
  <c r="C69" i="16"/>
  <c r="B69" i="16"/>
  <c r="C68" i="16"/>
  <c r="B68" i="16"/>
  <c r="C67" i="16"/>
  <c r="B67" i="16"/>
  <c r="C66" i="16"/>
  <c r="B66" i="16"/>
  <c r="C65" i="16"/>
  <c r="B65" i="16"/>
  <c r="C64" i="16"/>
  <c r="B64" i="16"/>
  <c r="C63" i="16"/>
  <c r="B63" i="16"/>
  <c r="C62" i="16"/>
  <c r="B62" i="16"/>
  <c r="C61" i="16"/>
  <c r="B61" i="16"/>
  <c r="C60" i="16"/>
  <c r="B60" i="16"/>
  <c r="C59" i="16"/>
  <c r="B59" i="16"/>
  <c r="C58" i="16"/>
  <c r="B58" i="16"/>
  <c r="C57" i="16"/>
  <c r="B57" i="16"/>
  <c r="C56" i="16"/>
  <c r="B56" i="16"/>
  <c r="C55" i="16"/>
  <c r="B55" i="16"/>
  <c r="C54" i="16"/>
  <c r="B54" i="16"/>
  <c r="C53" i="16"/>
  <c r="B53" i="16"/>
  <c r="C52" i="16"/>
  <c r="B52" i="16"/>
  <c r="C51" i="16"/>
  <c r="B51" i="16"/>
  <c r="C50" i="16"/>
  <c r="B50" i="16"/>
  <c r="C49" i="16"/>
  <c r="B49" i="16"/>
  <c r="C48" i="16"/>
  <c r="B48" i="16"/>
  <c r="C47" i="16"/>
  <c r="B47" i="16"/>
  <c r="C46" i="16"/>
  <c r="B46" i="16"/>
  <c r="C45" i="16"/>
  <c r="B45" i="16"/>
  <c r="C514" i="15"/>
  <c r="B514" i="15"/>
  <c r="C513" i="15"/>
  <c r="B513" i="15"/>
  <c r="C512" i="15"/>
  <c r="B512" i="15"/>
  <c r="C511" i="15"/>
  <c r="B511" i="15"/>
  <c r="C510" i="15"/>
  <c r="B510" i="15"/>
  <c r="C509" i="15"/>
  <c r="B509" i="15"/>
  <c r="C508" i="15"/>
  <c r="B508" i="15"/>
  <c r="C507" i="15"/>
  <c r="B507" i="15"/>
  <c r="C506" i="15"/>
  <c r="B506" i="15"/>
  <c r="C505" i="15"/>
  <c r="B505" i="15"/>
  <c r="C504" i="15"/>
  <c r="B504" i="15"/>
  <c r="C503" i="15"/>
  <c r="B503" i="15"/>
  <c r="C502" i="15"/>
  <c r="B502" i="15"/>
  <c r="C501" i="15"/>
  <c r="B501" i="15"/>
  <c r="C500" i="15"/>
  <c r="B500" i="15"/>
  <c r="C499" i="15"/>
  <c r="B499" i="15"/>
  <c r="C498" i="15"/>
  <c r="B498" i="15"/>
  <c r="C497" i="15"/>
  <c r="B497" i="15"/>
  <c r="C496" i="15"/>
  <c r="B496" i="15"/>
  <c r="C495" i="15"/>
  <c r="B495" i="15"/>
  <c r="C494" i="15"/>
  <c r="B494" i="15"/>
  <c r="C493" i="15"/>
  <c r="B493" i="15"/>
  <c r="C492" i="15"/>
  <c r="B492" i="15"/>
  <c r="C491" i="15"/>
  <c r="B491" i="15"/>
  <c r="C490" i="15"/>
  <c r="B490" i="15"/>
  <c r="C489" i="15"/>
  <c r="B489" i="15"/>
  <c r="C488" i="15"/>
  <c r="B488" i="15"/>
  <c r="C487" i="15"/>
  <c r="B487" i="15"/>
  <c r="C486" i="15"/>
  <c r="B486" i="15"/>
  <c r="C485" i="15"/>
  <c r="B485" i="15"/>
  <c r="C484" i="15"/>
  <c r="B484" i="15"/>
  <c r="C483" i="15"/>
  <c r="B483" i="15"/>
  <c r="C482" i="15"/>
  <c r="B482" i="15"/>
  <c r="C481" i="15"/>
  <c r="B481" i="15"/>
  <c r="C480" i="15"/>
  <c r="B480" i="15"/>
  <c r="C479" i="15"/>
  <c r="B479" i="15"/>
  <c r="C478" i="15"/>
  <c r="B478" i="15"/>
  <c r="C477" i="15"/>
  <c r="B477" i="15"/>
  <c r="C476" i="15"/>
  <c r="B476" i="15"/>
  <c r="C475" i="15"/>
  <c r="B475" i="15"/>
  <c r="C474" i="15"/>
  <c r="B474" i="15"/>
  <c r="C473" i="15"/>
  <c r="B473" i="15"/>
  <c r="C472" i="15"/>
  <c r="B472" i="15"/>
  <c r="C471" i="15"/>
  <c r="B471" i="15"/>
  <c r="C470" i="15"/>
  <c r="B470" i="15"/>
  <c r="C469" i="15"/>
  <c r="B469" i="15"/>
  <c r="C468" i="15"/>
  <c r="B468" i="15"/>
  <c r="C467" i="15"/>
  <c r="B467" i="15"/>
  <c r="C466" i="15"/>
  <c r="B466" i="15"/>
  <c r="C465" i="15"/>
  <c r="B465" i="15"/>
  <c r="C464" i="15"/>
  <c r="B464" i="15"/>
  <c r="C463" i="15"/>
  <c r="B463" i="15"/>
  <c r="C462" i="15"/>
  <c r="B462" i="15"/>
  <c r="C461" i="15"/>
  <c r="B461" i="15"/>
  <c r="C460" i="15"/>
  <c r="B460" i="15"/>
  <c r="C459" i="15"/>
  <c r="B459" i="15"/>
  <c r="C458" i="15"/>
  <c r="B458" i="15"/>
  <c r="C457" i="15"/>
  <c r="B457" i="15"/>
  <c r="C456" i="15"/>
  <c r="B456" i="15"/>
  <c r="C455" i="15"/>
  <c r="B455" i="15"/>
  <c r="C454" i="15"/>
  <c r="B454" i="15"/>
  <c r="C453" i="15"/>
  <c r="B453" i="15"/>
  <c r="C452" i="15"/>
  <c r="B452" i="15"/>
  <c r="C451" i="15"/>
  <c r="B451" i="15"/>
  <c r="C450" i="15"/>
  <c r="B450" i="15"/>
  <c r="C449" i="15"/>
  <c r="B449" i="15"/>
  <c r="C448" i="15"/>
  <c r="B448" i="15"/>
  <c r="C447" i="15"/>
  <c r="B447" i="15"/>
  <c r="C446" i="15"/>
  <c r="B446" i="15"/>
  <c r="C445" i="15"/>
  <c r="B445" i="15"/>
  <c r="C444" i="15"/>
  <c r="B444" i="15"/>
  <c r="C443" i="15"/>
  <c r="B443" i="15"/>
  <c r="C442" i="15"/>
  <c r="B442" i="15"/>
  <c r="C441" i="15"/>
  <c r="B441" i="15"/>
  <c r="C440" i="15"/>
  <c r="B440" i="15"/>
  <c r="C439" i="15"/>
  <c r="B439" i="15"/>
  <c r="C438" i="15"/>
  <c r="B438" i="15"/>
  <c r="C437" i="15"/>
  <c r="B437" i="15"/>
  <c r="C436" i="15"/>
  <c r="B436" i="15"/>
  <c r="C435" i="15"/>
  <c r="B435" i="15"/>
  <c r="C434" i="15"/>
  <c r="B434" i="15"/>
  <c r="C433" i="15"/>
  <c r="B433" i="15"/>
  <c r="C432" i="15"/>
  <c r="B432" i="15"/>
  <c r="C431" i="15"/>
  <c r="B431" i="15"/>
  <c r="C430" i="15"/>
  <c r="B430" i="15"/>
  <c r="C429" i="15"/>
  <c r="B429" i="15"/>
  <c r="C428" i="15"/>
  <c r="B428" i="15"/>
  <c r="C427" i="15"/>
  <c r="B427" i="15"/>
  <c r="C426" i="15"/>
  <c r="B426" i="15"/>
  <c r="C425" i="15"/>
  <c r="B425" i="15"/>
  <c r="C424" i="15"/>
  <c r="B424" i="15"/>
  <c r="C423" i="15"/>
  <c r="B423" i="15"/>
  <c r="C422" i="15"/>
  <c r="B422" i="15"/>
  <c r="C421" i="15"/>
  <c r="B421" i="15"/>
  <c r="C420" i="15"/>
  <c r="B420" i="15"/>
  <c r="C419" i="15"/>
  <c r="B419" i="15"/>
  <c r="C418" i="15"/>
  <c r="B418" i="15"/>
  <c r="C417" i="15"/>
  <c r="B417" i="15"/>
  <c r="C416" i="15"/>
  <c r="B416" i="15"/>
  <c r="C415" i="15"/>
  <c r="B415" i="15"/>
  <c r="C414" i="15"/>
  <c r="B414" i="15"/>
  <c r="C413" i="15"/>
  <c r="B413" i="15"/>
  <c r="C412" i="15"/>
  <c r="B412" i="15"/>
  <c r="C411" i="15"/>
  <c r="B411" i="15"/>
  <c r="C410" i="15"/>
  <c r="B410" i="15"/>
  <c r="C409" i="15"/>
  <c r="B409" i="15"/>
  <c r="C408" i="15"/>
  <c r="B408" i="15"/>
  <c r="C407" i="15"/>
  <c r="B407" i="15"/>
  <c r="C406" i="15"/>
  <c r="B406" i="15"/>
  <c r="C405" i="15"/>
  <c r="B405" i="15"/>
  <c r="C404" i="15"/>
  <c r="B404" i="15"/>
  <c r="C403" i="15"/>
  <c r="B403" i="15"/>
  <c r="C402" i="15"/>
  <c r="B402" i="15"/>
  <c r="C401" i="15"/>
  <c r="B401" i="15"/>
  <c r="C400" i="15"/>
  <c r="B400" i="15"/>
  <c r="C399" i="15"/>
  <c r="B399" i="15"/>
  <c r="C398" i="15"/>
  <c r="B398" i="15"/>
  <c r="C397" i="15"/>
  <c r="B397" i="15"/>
  <c r="C396" i="15"/>
  <c r="B396" i="15"/>
  <c r="C395" i="15"/>
  <c r="B395" i="15"/>
  <c r="C394" i="15"/>
  <c r="B394" i="15"/>
  <c r="C393" i="15"/>
  <c r="B393" i="15"/>
  <c r="C392" i="15"/>
  <c r="B392" i="15"/>
  <c r="C391" i="15"/>
  <c r="B391" i="15"/>
  <c r="C390" i="15"/>
  <c r="B390" i="15"/>
  <c r="C389" i="15"/>
  <c r="B389" i="15"/>
  <c r="C388" i="15"/>
  <c r="B388" i="15"/>
  <c r="C387" i="15"/>
  <c r="B387" i="15"/>
  <c r="C386" i="15"/>
  <c r="B386" i="15"/>
  <c r="C385" i="15"/>
  <c r="B385" i="15"/>
  <c r="C384" i="15"/>
  <c r="B384" i="15"/>
  <c r="C383" i="15"/>
  <c r="B383" i="15"/>
  <c r="C382" i="15"/>
  <c r="B382" i="15"/>
  <c r="C381" i="15"/>
  <c r="B381" i="15"/>
  <c r="C380" i="15"/>
  <c r="B380" i="15"/>
  <c r="C379" i="15"/>
  <c r="B379" i="15"/>
  <c r="C378" i="15"/>
  <c r="B378" i="15"/>
  <c r="C377" i="15"/>
  <c r="B377" i="15"/>
  <c r="C376" i="15"/>
  <c r="B376" i="15"/>
  <c r="C375" i="15"/>
  <c r="B375" i="15"/>
  <c r="C374" i="15"/>
  <c r="B374" i="15"/>
  <c r="C373" i="15"/>
  <c r="B373" i="15"/>
  <c r="C372" i="15"/>
  <c r="B372" i="15"/>
  <c r="C371" i="15"/>
  <c r="B371" i="15"/>
  <c r="C370" i="15"/>
  <c r="B370" i="15"/>
  <c r="C369" i="15"/>
  <c r="B369" i="15"/>
  <c r="C368" i="15"/>
  <c r="B368" i="15"/>
  <c r="C367" i="15"/>
  <c r="B367" i="15"/>
  <c r="C366" i="15"/>
  <c r="B366" i="15"/>
  <c r="C365" i="15"/>
  <c r="B365" i="15"/>
  <c r="C364" i="15"/>
  <c r="B364" i="15"/>
  <c r="C363" i="15"/>
  <c r="B363" i="15"/>
  <c r="C362" i="15"/>
  <c r="B362" i="15"/>
  <c r="C361" i="15"/>
  <c r="B361" i="15"/>
  <c r="C360" i="15"/>
  <c r="B360" i="15"/>
  <c r="C359" i="15"/>
  <c r="B359" i="15"/>
  <c r="C358" i="15"/>
  <c r="B358" i="15"/>
  <c r="C357" i="15"/>
  <c r="B357" i="15"/>
  <c r="C356" i="15"/>
  <c r="B356" i="15"/>
  <c r="C355" i="15"/>
  <c r="B355" i="15"/>
  <c r="C354" i="15"/>
  <c r="B354" i="15"/>
  <c r="C353" i="15"/>
  <c r="B353" i="15"/>
  <c r="C352" i="15"/>
  <c r="B352" i="15"/>
  <c r="C351" i="15"/>
  <c r="B351" i="15"/>
  <c r="C350" i="15"/>
  <c r="B350" i="15"/>
  <c r="C349" i="15"/>
  <c r="B349" i="15"/>
  <c r="C348" i="15"/>
  <c r="B348" i="15"/>
  <c r="C347" i="15"/>
  <c r="B347" i="15"/>
  <c r="C346" i="15"/>
  <c r="B346" i="15"/>
  <c r="C345" i="15"/>
  <c r="B345" i="15"/>
  <c r="C344" i="15"/>
  <c r="B344" i="15"/>
  <c r="C343" i="15"/>
  <c r="B343" i="15"/>
  <c r="C342" i="15"/>
  <c r="B342" i="15"/>
  <c r="C341" i="15"/>
  <c r="B341" i="15"/>
  <c r="C340" i="15"/>
  <c r="B340" i="15"/>
  <c r="C339" i="15"/>
  <c r="B339" i="15"/>
  <c r="C338" i="15"/>
  <c r="B338" i="15"/>
  <c r="C337" i="15"/>
  <c r="B337" i="15"/>
  <c r="C336" i="15"/>
  <c r="B336" i="15"/>
  <c r="C335" i="15"/>
  <c r="B335" i="15"/>
  <c r="C334" i="15"/>
  <c r="B334" i="15"/>
  <c r="C333" i="15"/>
  <c r="B333" i="15"/>
  <c r="C332" i="15"/>
  <c r="B332" i="15"/>
  <c r="C331" i="15"/>
  <c r="B331" i="15"/>
  <c r="C330" i="15"/>
  <c r="B330" i="15"/>
  <c r="C329" i="15"/>
  <c r="B329" i="15"/>
  <c r="C328" i="15"/>
  <c r="B328" i="15"/>
  <c r="C327" i="15"/>
  <c r="B327" i="15"/>
  <c r="C326" i="15"/>
  <c r="B326" i="15"/>
  <c r="C325" i="15"/>
  <c r="B325" i="15"/>
  <c r="C324" i="15"/>
  <c r="B324" i="15"/>
  <c r="C323" i="15"/>
  <c r="B323" i="15"/>
  <c r="C322" i="15"/>
  <c r="B322" i="15"/>
  <c r="C321" i="15"/>
  <c r="B321" i="15"/>
  <c r="C320" i="15"/>
  <c r="B320" i="15"/>
  <c r="C319" i="15"/>
  <c r="B319" i="15"/>
  <c r="C318" i="15"/>
  <c r="B318" i="15"/>
  <c r="C317" i="15"/>
  <c r="B317" i="15"/>
  <c r="C316" i="15"/>
  <c r="B316" i="15"/>
  <c r="C315" i="15"/>
  <c r="B315" i="15"/>
  <c r="C314" i="15"/>
  <c r="B314" i="15"/>
  <c r="C313" i="15"/>
  <c r="B313" i="15"/>
  <c r="C312" i="15"/>
  <c r="B312" i="15"/>
  <c r="C311" i="15"/>
  <c r="B311" i="15"/>
  <c r="C310" i="15"/>
  <c r="B310" i="15"/>
  <c r="C309" i="15"/>
  <c r="B309" i="15"/>
  <c r="C308" i="15"/>
  <c r="B308" i="15"/>
  <c r="C307" i="15"/>
  <c r="B307" i="15"/>
  <c r="C306" i="15"/>
  <c r="B306" i="15"/>
  <c r="C305" i="15"/>
  <c r="B305" i="15"/>
  <c r="C304" i="15"/>
  <c r="B304" i="15"/>
  <c r="C303" i="15"/>
  <c r="B303" i="15"/>
  <c r="C302" i="15"/>
  <c r="B302" i="15"/>
  <c r="C301" i="15"/>
  <c r="B301" i="15"/>
  <c r="C300" i="15"/>
  <c r="B300" i="15"/>
  <c r="C299" i="15"/>
  <c r="B299" i="15"/>
  <c r="C298" i="15"/>
  <c r="B298" i="15"/>
  <c r="C297" i="15"/>
  <c r="B297" i="15"/>
  <c r="C296" i="15"/>
  <c r="B296" i="15"/>
  <c r="C295" i="15"/>
  <c r="B295" i="15"/>
  <c r="C294" i="15"/>
  <c r="B294" i="15"/>
  <c r="C293" i="15"/>
  <c r="B293" i="15"/>
  <c r="C292" i="15"/>
  <c r="B292" i="15"/>
  <c r="C291" i="15"/>
  <c r="B291" i="15"/>
  <c r="C290" i="15"/>
  <c r="B290" i="15"/>
  <c r="C289" i="15"/>
  <c r="B289" i="15"/>
  <c r="C288" i="15"/>
  <c r="B288" i="15"/>
  <c r="C287" i="15"/>
  <c r="B287" i="15"/>
  <c r="C286" i="15"/>
  <c r="B286" i="15"/>
  <c r="C285" i="15"/>
  <c r="B285" i="15"/>
  <c r="C284" i="15"/>
  <c r="B284" i="15"/>
  <c r="C283" i="15"/>
  <c r="B283" i="15"/>
  <c r="C282" i="15"/>
  <c r="B282" i="15"/>
  <c r="C281" i="15"/>
  <c r="B281" i="15"/>
  <c r="C280" i="15"/>
  <c r="B280" i="15"/>
  <c r="C279" i="15"/>
  <c r="B279" i="15"/>
  <c r="C278" i="15"/>
  <c r="B278" i="15"/>
  <c r="C277" i="15"/>
  <c r="B277" i="15"/>
  <c r="C276" i="15"/>
  <c r="B276" i="15"/>
  <c r="C275" i="15"/>
  <c r="B275" i="15"/>
  <c r="C274" i="15"/>
  <c r="B274" i="15"/>
  <c r="C273" i="15"/>
  <c r="B273" i="15"/>
  <c r="C272" i="15"/>
  <c r="B272" i="15"/>
  <c r="C271" i="15"/>
  <c r="B271" i="15"/>
  <c r="C270" i="15"/>
  <c r="B270" i="15"/>
  <c r="C269" i="15"/>
  <c r="B269" i="15"/>
  <c r="C268" i="15"/>
  <c r="B268" i="15"/>
  <c r="C267" i="15"/>
  <c r="B267" i="15"/>
  <c r="C266" i="15"/>
  <c r="B266" i="15"/>
  <c r="C265" i="15"/>
  <c r="B265" i="15"/>
  <c r="C264" i="15"/>
  <c r="B264" i="15"/>
  <c r="C263" i="15"/>
  <c r="B263" i="15"/>
  <c r="C262" i="15"/>
  <c r="B262" i="15"/>
  <c r="C261" i="15"/>
  <c r="B261" i="15"/>
  <c r="C260" i="15"/>
  <c r="B260" i="15"/>
  <c r="C259" i="15"/>
  <c r="B259" i="15"/>
  <c r="C258" i="15"/>
  <c r="B258" i="15"/>
  <c r="C257" i="15"/>
  <c r="B257" i="15"/>
  <c r="C256" i="15"/>
  <c r="B256" i="15"/>
  <c r="C255" i="15"/>
  <c r="B255" i="15"/>
  <c r="C254" i="15"/>
  <c r="B254" i="15"/>
  <c r="C253" i="15"/>
  <c r="B253" i="15"/>
  <c r="C252" i="15"/>
  <c r="B252" i="15"/>
  <c r="C251" i="15"/>
  <c r="B251" i="15"/>
  <c r="C250" i="15"/>
  <c r="B250" i="15"/>
  <c r="C249" i="15"/>
  <c r="B249" i="15"/>
  <c r="C248" i="15"/>
  <c r="B248" i="15"/>
  <c r="C247" i="15"/>
  <c r="B247" i="15"/>
  <c r="C246" i="15"/>
  <c r="B246" i="15"/>
  <c r="C245" i="15"/>
  <c r="B245" i="15"/>
  <c r="C244" i="15"/>
  <c r="B244" i="15"/>
  <c r="C243" i="15"/>
  <c r="B243" i="15"/>
  <c r="C242" i="15"/>
  <c r="B242" i="15"/>
  <c r="C241" i="15"/>
  <c r="B241" i="15"/>
  <c r="C240" i="15"/>
  <c r="B240" i="15"/>
  <c r="C239" i="15"/>
  <c r="B239" i="15"/>
  <c r="C238" i="15"/>
  <c r="B238" i="15"/>
  <c r="C237" i="15"/>
  <c r="B237" i="15"/>
  <c r="C236" i="15"/>
  <c r="B236" i="15"/>
  <c r="C235" i="15"/>
  <c r="B235" i="15"/>
  <c r="C234" i="15"/>
  <c r="B234" i="15"/>
  <c r="C233" i="15"/>
  <c r="B233" i="15"/>
  <c r="C232" i="15"/>
  <c r="B232" i="15"/>
  <c r="C231" i="15"/>
  <c r="B231" i="15"/>
  <c r="C230" i="15"/>
  <c r="B230" i="15"/>
  <c r="C229" i="15"/>
  <c r="B229" i="15"/>
  <c r="C228" i="15"/>
  <c r="B228" i="15"/>
  <c r="C227" i="15"/>
  <c r="B227" i="15"/>
  <c r="C226" i="15"/>
  <c r="B226" i="15"/>
  <c r="C225" i="15"/>
  <c r="B225" i="15"/>
  <c r="C224" i="15"/>
  <c r="B224" i="15"/>
  <c r="C223" i="15"/>
  <c r="B223" i="15"/>
  <c r="C222" i="15"/>
  <c r="B222" i="15"/>
  <c r="C221" i="15"/>
  <c r="B221" i="15"/>
  <c r="C220" i="15"/>
  <c r="B220" i="15"/>
  <c r="C219" i="15"/>
  <c r="B219" i="15"/>
  <c r="C218" i="15"/>
  <c r="B218" i="15"/>
  <c r="C217" i="15"/>
  <c r="B217" i="15"/>
  <c r="C216" i="15"/>
  <c r="B216" i="15"/>
  <c r="C215" i="15"/>
  <c r="B215" i="15"/>
  <c r="C214" i="15"/>
  <c r="B214" i="15"/>
  <c r="C213" i="15"/>
  <c r="B213" i="15"/>
  <c r="C212" i="15"/>
  <c r="B212" i="15"/>
  <c r="C211" i="15"/>
  <c r="B211" i="15"/>
  <c r="C210" i="15"/>
  <c r="B210" i="15"/>
  <c r="C209" i="15"/>
  <c r="B209" i="15"/>
  <c r="C208" i="15"/>
  <c r="B208" i="15"/>
  <c r="C207" i="15"/>
  <c r="B207" i="15"/>
  <c r="C206" i="15"/>
  <c r="B206" i="15"/>
  <c r="C205" i="15"/>
  <c r="B205" i="15"/>
  <c r="C204" i="15"/>
  <c r="B204" i="15"/>
  <c r="C203" i="15"/>
  <c r="B203" i="15"/>
  <c r="C202" i="15"/>
  <c r="B202" i="15"/>
  <c r="C201" i="15"/>
  <c r="B201" i="15"/>
  <c r="C200" i="15"/>
  <c r="B200" i="15"/>
  <c r="C199" i="15"/>
  <c r="B199" i="15"/>
  <c r="C198" i="15"/>
  <c r="B198" i="15"/>
  <c r="C197" i="15"/>
  <c r="B197" i="15"/>
  <c r="C196" i="15"/>
  <c r="B196" i="15"/>
  <c r="C195" i="15"/>
  <c r="B195" i="15"/>
  <c r="C194" i="15"/>
  <c r="B194" i="15"/>
  <c r="C193" i="15"/>
  <c r="B193" i="15"/>
  <c r="C192" i="15"/>
  <c r="B192" i="15"/>
  <c r="C191" i="15"/>
  <c r="B191" i="15"/>
  <c r="C190" i="15"/>
  <c r="B190" i="15"/>
  <c r="C189" i="15"/>
  <c r="B189" i="15"/>
  <c r="C188" i="15"/>
  <c r="B188" i="15"/>
  <c r="C187" i="15"/>
  <c r="B187" i="15"/>
  <c r="C186" i="15"/>
  <c r="B186" i="15"/>
  <c r="C185" i="15"/>
  <c r="B185" i="15"/>
  <c r="C184" i="15"/>
  <c r="B184" i="15"/>
  <c r="C183" i="15"/>
  <c r="B183" i="15"/>
  <c r="C182" i="15"/>
  <c r="B182" i="15"/>
  <c r="C181" i="15"/>
  <c r="B181" i="15"/>
  <c r="C180" i="15"/>
  <c r="B180" i="15"/>
  <c r="C179" i="15"/>
  <c r="B179" i="15"/>
  <c r="C178" i="15"/>
  <c r="B178" i="15"/>
  <c r="C177" i="15"/>
  <c r="B177" i="15"/>
  <c r="C176" i="15"/>
  <c r="B176" i="15"/>
  <c r="C175" i="15"/>
  <c r="B175" i="15"/>
  <c r="C174" i="15"/>
  <c r="B174" i="15"/>
  <c r="C173" i="15"/>
  <c r="B173" i="15"/>
  <c r="C172" i="15"/>
  <c r="B172" i="15"/>
  <c r="C171" i="15"/>
  <c r="B171" i="15"/>
  <c r="C170" i="15"/>
  <c r="B170" i="15"/>
  <c r="C169" i="15"/>
  <c r="B169" i="15"/>
  <c r="C168" i="15"/>
  <c r="B168" i="15"/>
  <c r="C167" i="15"/>
  <c r="B167" i="15"/>
  <c r="C166" i="15"/>
  <c r="B166" i="15"/>
  <c r="C165" i="15"/>
  <c r="B165" i="15"/>
  <c r="C164" i="15"/>
  <c r="B164" i="15"/>
  <c r="C163" i="15"/>
  <c r="B163" i="15"/>
  <c r="C162" i="15"/>
  <c r="B162" i="15"/>
  <c r="C161" i="15"/>
  <c r="B161" i="15"/>
  <c r="C160" i="15"/>
  <c r="B160" i="15"/>
  <c r="C159" i="15"/>
  <c r="B159" i="15"/>
  <c r="C158" i="15"/>
  <c r="B158" i="15"/>
  <c r="C157" i="15"/>
  <c r="B157" i="15"/>
  <c r="C156" i="15"/>
  <c r="B156" i="15"/>
  <c r="C155" i="15"/>
  <c r="B155" i="15"/>
  <c r="C154" i="15"/>
  <c r="B154" i="15"/>
  <c r="C153" i="15"/>
  <c r="B153" i="15"/>
  <c r="C152" i="15"/>
  <c r="B152" i="15"/>
  <c r="C151" i="15"/>
  <c r="B151" i="15"/>
  <c r="C150" i="15"/>
  <c r="B150" i="15"/>
  <c r="C149" i="15"/>
  <c r="B149" i="15"/>
  <c r="C148" i="15"/>
  <c r="B148" i="15"/>
  <c r="C147" i="15"/>
  <c r="B147" i="15"/>
  <c r="C146" i="15"/>
  <c r="B146" i="15"/>
  <c r="C145" i="15"/>
  <c r="B145" i="15"/>
  <c r="C144" i="15"/>
  <c r="B144" i="15"/>
  <c r="C143" i="15"/>
  <c r="B143" i="15"/>
  <c r="C142" i="15"/>
  <c r="B142" i="15"/>
  <c r="C141" i="15"/>
  <c r="B141" i="15"/>
  <c r="C140" i="15"/>
  <c r="B140" i="15"/>
  <c r="C139" i="15"/>
  <c r="B139" i="15"/>
  <c r="C138" i="15"/>
  <c r="B138" i="15"/>
  <c r="C137" i="15"/>
  <c r="B137" i="15"/>
  <c r="C136" i="15"/>
  <c r="B136" i="15"/>
  <c r="C135" i="15"/>
  <c r="B135" i="15"/>
  <c r="C134" i="15"/>
  <c r="B134" i="15"/>
  <c r="C133" i="15"/>
  <c r="B133" i="15"/>
  <c r="C132" i="15"/>
  <c r="B132" i="15"/>
  <c r="C131" i="15"/>
  <c r="B131" i="15"/>
  <c r="C130" i="15"/>
  <c r="B130" i="15"/>
  <c r="C129" i="15"/>
  <c r="B129" i="15"/>
  <c r="C128" i="15"/>
  <c r="B128" i="15"/>
  <c r="C127" i="15"/>
  <c r="B127" i="15"/>
  <c r="C126" i="15"/>
  <c r="B126" i="15"/>
  <c r="C125" i="15"/>
  <c r="B125" i="15"/>
  <c r="C124" i="15"/>
  <c r="B124" i="15"/>
  <c r="C123" i="15"/>
  <c r="B123" i="15"/>
  <c r="C122" i="15"/>
  <c r="B122" i="15"/>
  <c r="C121" i="15"/>
  <c r="B121" i="15"/>
  <c r="C120" i="15"/>
  <c r="B120" i="15"/>
  <c r="C119" i="15"/>
  <c r="B119" i="15"/>
  <c r="C118" i="15"/>
  <c r="B118" i="15"/>
  <c r="C117" i="15"/>
  <c r="B117" i="15"/>
  <c r="C116" i="15"/>
  <c r="B116" i="15"/>
  <c r="C115" i="15"/>
  <c r="B115" i="15"/>
  <c r="C114" i="15"/>
  <c r="B114" i="15"/>
  <c r="C113" i="15"/>
  <c r="B113" i="15"/>
  <c r="C112" i="15"/>
  <c r="B112" i="15"/>
  <c r="C111" i="15"/>
  <c r="B111" i="15"/>
  <c r="C110" i="15"/>
  <c r="B110" i="15"/>
  <c r="C109" i="15"/>
  <c r="B109" i="15"/>
  <c r="C108" i="15"/>
  <c r="B108" i="15"/>
  <c r="C107" i="15"/>
  <c r="B107" i="15"/>
  <c r="C106" i="15"/>
  <c r="B106" i="15"/>
  <c r="C105" i="15"/>
  <c r="B105" i="15"/>
  <c r="C104" i="15"/>
  <c r="B104" i="15"/>
  <c r="C103" i="15"/>
  <c r="B103" i="15"/>
  <c r="C102" i="15"/>
  <c r="B102" i="15"/>
  <c r="C101" i="15"/>
  <c r="B101" i="15"/>
  <c r="C100" i="15"/>
  <c r="B100" i="15"/>
  <c r="C99" i="15"/>
  <c r="B99" i="15"/>
  <c r="C98" i="15"/>
  <c r="B98" i="15"/>
  <c r="C97" i="15"/>
  <c r="B97" i="15"/>
  <c r="C96" i="15"/>
  <c r="B96" i="15"/>
  <c r="C95" i="15"/>
  <c r="B95" i="15"/>
  <c r="C94" i="15"/>
  <c r="B94" i="15"/>
  <c r="C93" i="15"/>
  <c r="B93" i="15"/>
  <c r="C92" i="15"/>
  <c r="B92" i="15"/>
  <c r="C91" i="15"/>
  <c r="B91" i="15"/>
  <c r="C90" i="15"/>
  <c r="B90" i="15"/>
  <c r="C89" i="15"/>
  <c r="B89" i="15"/>
  <c r="C88" i="15"/>
  <c r="B88" i="15"/>
  <c r="C87" i="15"/>
  <c r="B87" i="15"/>
  <c r="C86" i="15"/>
  <c r="B86" i="15"/>
  <c r="C85" i="15"/>
  <c r="B85" i="15"/>
  <c r="C84" i="15"/>
  <c r="B84" i="15"/>
  <c r="C83" i="15"/>
  <c r="B83" i="15"/>
  <c r="C82" i="15"/>
  <c r="B82" i="15"/>
  <c r="C81" i="15"/>
  <c r="B81" i="15"/>
  <c r="C80" i="15"/>
  <c r="B80" i="15"/>
  <c r="C79" i="15"/>
  <c r="B79" i="15"/>
  <c r="C78" i="15"/>
  <c r="B78" i="15"/>
  <c r="C77" i="15"/>
  <c r="B77" i="15"/>
  <c r="C76" i="15"/>
  <c r="B76" i="15"/>
  <c r="C75" i="15"/>
  <c r="B75" i="15"/>
  <c r="C74" i="15"/>
  <c r="B74" i="15"/>
  <c r="C73" i="15"/>
  <c r="B73" i="15"/>
  <c r="C72" i="15"/>
  <c r="B72" i="15"/>
  <c r="C71" i="15"/>
  <c r="B71" i="15"/>
  <c r="C70" i="15"/>
  <c r="B70" i="15"/>
  <c r="C69" i="15"/>
  <c r="B69" i="15"/>
  <c r="C68" i="15"/>
  <c r="B68" i="15"/>
  <c r="C67" i="15"/>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C49" i="15"/>
  <c r="B49" i="15"/>
  <c r="C48" i="15"/>
  <c r="B48" i="15"/>
  <c r="C47" i="15"/>
  <c r="B47" i="15"/>
  <c r="C46" i="15"/>
  <c r="B46" i="15"/>
  <c r="C45" i="15"/>
  <c r="B45" i="15"/>
  <c r="C514" i="14"/>
  <c r="B514" i="14"/>
  <c r="C513" i="14"/>
  <c r="B513" i="14"/>
  <c r="C512" i="14"/>
  <c r="B512" i="14"/>
  <c r="C511" i="14"/>
  <c r="B511" i="14"/>
  <c r="C510" i="14"/>
  <c r="B510" i="14"/>
  <c r="C509" i="14"/>
  <c r="B509" i="14"/>
  <c r="C508" i="14"/>
  <c r="B508" i="14"/>
  <c r="C507" i="14"/>
  <c r="B507" i="14"/>
  <c r="C506" i="14"/>
  <c r="B506" i="14"/>
  <c r="C505" i="14"/>
  <c r="B505" i="14"/>
  <c r="C504" i="14"/>
  <c r="B504" i="14"/>
  <c r="C503" i="14"/>
  <c r="B503" i="14"/>
  <c r="C502" i="14"/>
  <c r="B502" i="14"/>
  <c r="C501" i="14"/>
  <c r="B501" i="14"/>
  <c r="C500" i="14"/>
  <c r="B500" i="14"/>
  <c r="C499" i="14"/>
  <c r="B499" i="14"/>
  <c r="C498" i="14"/>
  <c r="B498" i="14"/>
  <c r="C497" i="14"/>
  <c r="B497" i="14"/>
  <c r="C496" i="14"/>
  <c r="B496" i="14"/>
  <c r="C495" i="14"/>
  <c r="B495" i="14"/>
  <c r="C494" i="14"/>
  <c r="B494" i="14"/>
  <c r="C493" i="14"/>
  <c r="B493" i="14"/>
  <c r="C492" i="14"/>
  <c r="B492" i="14"/>
  <c r="C491" i="14"/>
  <c r="B491" i="14"/>
  <c r="C490" i="14"/>
  <c r="B490" i="14"/>
  <c r="C489" i="14"/>
  <c r="B489" i="14"/>
  <c r="C488" i="14"/>
  <c r="B488" i="14"/>
  <c r="C487" i="14"/>
  <c r="B487" i="14"/>
  <c r="C486" i="14"/>
  <c r="B486" i="14"/>
  <c r="C485" i="14"/>
  <c r="B485" i="14"/>
  <c r="C484" i="14"/>
  <c r="B484" i="14"/>
  <c r="C483" i="14"/>
  <c r="B483" i="14"/>
  <c r="C482" i="14"/>
  <c r="B482" i="14"/>
  <c r="C481" i="14"/>
  <c r="B481" i="14"/>
  <c r="C480" i="14"/>
  <c r="B480" i="14"/>
  <c r="C479" i="14"/>
  <c r="B479" i="14"/>
  <c r="C478" i="14"/>
  <c r="B478" i="14"/>
  <c r="C477" i="14"/>
  <c r="B477" i="14"/>
  <c r="C476" i="14"/>
  <c r="B476" i="14"/>
  <c r="C475" i="14"/>
  <c r="B475" i="14"/>
  <c r="C474" i="14"/>
  <c r="B474" i="14"/>
  <c r="C473" i="14"/>
  <c r="B473" i="14"/>
  <c r="C472" i="14"/>
  <c r="B472" i="14"/>
  <c r="C471" i="14"/>
  <c r="B471" i="14"/>
  <c r="C470" i="14"/>
  <c r="B470" i="14"/>
  <c r="C469" i="14"/>
  <c r="B469" i="14"/>
  <c r="C468" i="14"/>
  <c r="B468" i="14"/>
  <c r="C467" i="14"/>
  <c r="B467" i="14"/>
  <c r="C466" i="14"/>
  <c r="B466" i="14"/>
  <c r="C465" i="14"/>
  <c r="B465" i="14"/>
  <c r="C464" i="14"/>
  <c r="B464" i="14"/>
  <c r="C463" i="14"/>
  <c r="B463" i="14"/>
  <c r="C462" i="14"/>
  <c r="B462" i="14"/>
  <c r="C461" i="14"/>
  <c r="B461" i="14"/>
  <c r="C460" i="14"/>
  <c r="B460" i="14"/>
  <c r="C459" i="14"/>
  <c r="B459" i="14"/>
  <c r="C458" i="14"/>
  <c r="B458" i="14"/>
  <c r="C457" i="14"/>
  <c r="B457" i="14"/>
  <c r="C456" i="14"/>
  <c r="B456" i="14"/>
  <c r="C455" i="14"/>
  <c r="B455" i="14"/>
  <c r="C454" i="14"/>
  <c r="B454" i="14"/>
  <c r="C453" i="14"/>
  <c r="B453" i="14"/>
  <c r="C452" i="14"/>
  <c r="B452" i="14"/>
  <c r="C451" i="14"/>
  <c r="B451" i="14"/>
  <c r="C450" i="14"/>
  <c r="B450" i="14"/>
  <c r="C449" i="14"/>
  <c r="B449" i="14"/>
  <c r="C448" i="14"/>
  <c r="B448" i="14"/>
  <c r="C447" i="14"/>
  <c r="B447" i="14"/>
  <c r="C446" i="14"/>
  <c r="B446" i="14"/>
  <c r="C445" i="14"/>
  <c r="B445" i="14"/>
  <c r="C444" i="14"/>
  <c r="B444" i="14"/>
  <c r="C443" i="14"/>
  <c r="B443" i="14"/>
  <c r="C442" i="14"/>
  <c r="B442" i="14"/>
  <c r="C441" i="14"/>
  <c r="B441" i="14"/>
  <c r="C440" i="14"/>
  <c r="B440" i="14"/>
  <c r="C439" i="14"/>
  <c r="B439" i="14"/>
  <c r="C438" i="14"/>
  <c r="B438" i="14"/>
  <c r="C437" i="14"/>
  <c r="B437" i="14"/>
  <c r="C436" i="14"/>
  <c r="B436" i="14"/>
  <c r="C435" i="14"/>
  <c r="B435" i="14"/>
  <c r="C434" i="14"/>
  <c r="B434" i="14"/>
  <c r="C433" i="14"/>
  <c r="B433" i="14"/>
  <c r="C432" i="14"/>
  <c r="B432" i="14"/>
  <c r="C431" i="14"/>
  <c r="B431" i="14"/>
  <c r="C430" i="14"/>
  <c r="B430" i="14"/>
  <c r="C429" i="14"/>
  <c r="B429" i="14"/>
  <c r="C428" i="14"/>
  <c r="B428" i="14"/>
  <c r="C427" i="14"/>
  <c r="B427" i="14"/>
  <c r="C426" i="14"/>
  <c r="B426" i="14"/>
  <c r="C425" i="14"/>
  <c r="B425" i="14"/>
  <c r="C424" i="14"/>
  <c r="B424" i="14"/>
  <c r="C423" i="14"/>
  <c r="B423" i="14"/>
  <c r="C422" i="14"/>
  <c r="B422" i="14"/>
  <c r="C421" i="14"/>
  <c r="B421" i="14"/>
  <c r="C420" i="14"/>
  <c r="B420" i="14"/>
  <c r="C419" i="14"/>
  <c r="B419" i="14"/>
  <c r="C418" i="14"/>
  <c r="B418" i="14"/>
  <c r="C417" i="14"/>
  <c r="B417" i="14"/>
  <c r="C416" i="14"/>
  <c r="B416" i="14"/>
  <c r="C415" i="14"/>
  <c r="B415" i="14"/>
  <c r="C414" i="14"/>
  <c r="B414" i="14"/>
  <c r="C413" i="14"/>
  <c r="B413" i="14"/>
  <c r="C412" i="14"/>
  <c r="B412" i="14"/>
  <c r="C411" i="14"/>
  <c r="B411" i="14"/>
  <c r="C410" i="14"/>
  <c r="B410" i="14"/>
  <c r="C409" i="14"/>
  <c r="B409" i="14"/>
  <c r="C408" i="14"/>
  <c r="B408" i="14"/>
  <c r="C407" i="14"/>
  <c r="B407" i="14"/>
  <c r="C406" i="14"/>
  <c r="B406" i="14"/>
  <c r="C405" i="14"/>
  <c r="B405" i="14"/>
  <c r="C404" i="14"/>
  <c r="B404" i="14"/>
  <c r="C403" i="14"/>
  <c r="B403" i="14"/>
  <c r="C402" i="14"/>
  <c r="B402" i="14"/>
  <c r="C401" i="14"/>
  <c r="B401" i="14"/>
  <c r="C400" i="14"/>
  <c r="B400" i="14"/>
  <c r="C399" i="14"/>
  <c r="B399" i="14"/>
  <c r="C398" i="14"/>
  <c r="B398" i="14"/>
  <c r="C397" i="14"/>
  <c r="B397" i="14"/>
  <c r="C396" i="14"/>
  <c r="B396" i="14"/>
  <c r="C395" i="14"/>
  <c r="B395" i="14"/>
  <c r="C394" i="14"/>
  <c r="B394" i="14"/>
  <c r="C393" i="14"/>
  <c r="B393" i="14"/>
  <c r="C392" i="14"/>
  <c r="B392" i="14"/>
  <c r="C391" i="14"/>
  <c r="B391" i="14"/>
  <c r="C390" i="14"/>
  <c r="B390" i="14"/>
  <c r="C389" i="14"/>
  <c r="B389" i="14"/>
  <c r="C388" i="14"/>
  <c r="B388" i="14"/>
  <c r="C387" i="14"/>
  <c r="B387" i="14"/>
  <c r="C386" i="14"/>
  <c r="B386" i="14"/>
  <c r="C385" i="14"/>
  <c r="B385" i="14"/>
  <c r="C384" i="14"/>
  <c r="B384" i="14"/>
  <c r="C383" i="14"/>
  <c r="B383" i="14"/>
  <c r="C382" i="14"/>
  <c r="B382" i="14"/>
  <c r="C381" i="14"/>
  <c r="B381" i="14"/>
  <c r="C380" i="14"/>
  <c r="B380" i="14"/>
  <c r="C379" i="14"/>
  <c r="B379" i="14"/>
  <c r="C378" i="14"/>
  <c r="B378" i="14"/>
  <c r="C377" i="14"/>
  <c r="B377" i="14"/>
  <c r="C376" i="14"/>
  <c r="B376" i="14"/>
  <c r="C375" i="14"/>
  <c r="B375" i="14"/>
  <c r="C374" i="14"/>
  <c r="B374" i="14"/>
  <c r="C373" i="14"/>
  <c r="B373" i="14"/>
  <c r="C372" i="14"/>
  <c r="B372" i="14"/>
  <c r="C371" i="14"/>
  <c r="B371" i="14"/>
  <c r="C370" i="14"/>
  <c r="B370" i="14"/>
  <c r="C369" i="14"/>
  <c r="B369" i="14"/>
  <c r="C368" i="14"/>
  <c r="B368" i="14"/>
  <c r="C367" i="14"/>
  <c r="B367" i="14"/>
  <c r="C366" i="14"/>
  <c r="B366" i="14"/>
  <c r="C365" i="14"/>
  <c r="B365" i="14"/>
  <c r="C364" i="14"/>
  <c r="B364" i="14"/>
  <c r="C363" i="14"/>
  <c r="B363" i="14"/>
  <c r="C362" i="14"/>
  <c r="B362" i="14"/>
  <c r="C361" i="14"/>
  <c r="B361" i="14"/>
  <c r="C360" i="14"/>
  <c r="B360" i="14"/>
  <c r="C359" i="14"/>
  <c r="B359" i="14"/>
  <c r="C358" i="14"/>
  <c r="B358" i="14"/>
  <c r="C357" i="14"/>
  <c r="B357" i="14"/>
  <c r="C356" i="14"/>
  <c r="B356" i="14"/>
  <c r="C355" i="14"/>
  <c r="B355" i="14"/>
  <c r="C354" i="14"/>
  <c r="B354" i="14"/>
  <c r="C353" i="14"/>
  <c r="B353" i="14"/>
  <c r="C352" i="14"/>
  <c r="B352" i="14"/>
  <c r="C351" i="14"/>
  <c r="B351" i="14"/>
  <c r="C350" i="14"/>
  <c r="B350" i="14"/>
  <c r="C349" i="14"/>
  <c r="B349" i="14"/>
  <c r="C348" i="14"/>
  <c r="B348" i="14"/>
  <c r="C347" i="14"/>
  <c r="B347" i="14"/>
  <c r="C346" i="14"/>
  <c r="B346" i="14"/>
  <c r="C345" i="14"/>
  <c r="B345" i="14"/>
  <c r="C344" i="14"/>
  <c r="B344" i="14"/>
  <c r="C343" i="14"/>
  <c r="B343" i="14"/>
  <c r="C342" i="14"/>
  <c r="B342" i="14"/>
  <c r="C341" i="14"/>
  <c r="B341" i="14"/>
  <c r="C340" i="14"/>
  <c r="B340" i="14"/>
  <c r="C339" i="14"/>
  <c r="B339" i="14"/>
  <c r="C338" i="14"/>
  <c r="B338" i="14"/>
  <c r="C337" i="14"/>
  <c r="B337" i="14"/>
  <c r="C336" i="14"/>
  <c r="B336" i="14"/>
  <c r="C335" i="14"/>
  <c r="B335" i="14"/>
  <c r="C334" i="14"/>
  <c r="B334" i="14"/>
  <c r="C333" i="14"/>
  <c r="B333" i="14"/>
  <c r="C332" i="14"/>
  <c r="B332" i="14"/>
  <c r="C331" i="14"/>
  <c r="B331" i="14"/>
  <c r="C330" i="14"/>
  <c r="B330" i="14"/>
  <c r="C329" i="14"/>
  <c r="B329" i="14"/>
  <c r="C328" i="14"/>
  <c r="B328" i="14"/>
  <c r="C327" i="14"/>
  <c r="B327" i="14"/>
  <c r="C326" i="14"/>
  <c r="B326" i="14"/>
  <c r="C325" i="14"/>
  <c r="B325" i="14"/>
  <c r="C324" i="14"/>
  <c r="B324" i="14"/>
  <c r="C323" i="14"/>
  <c r="B323" i="14"/>
  <c r="C322" i="14"/>
  <c r="B322" i="14"/>
  <c r="C321" i="14"/>
  <c r="B321" i="14"/>
  <c r="C320" i="14"/>
  <c r="B320" i="14"/>
  <c r="C319" i="14"/>
  <c r="B319" i="14"/>
  <c r="C318" i="14"/>
  <c r="B318" i="14"/>
  <c r="C317" i="14"/>
  <c r="B317" i="14"/>
  <c r="C316" i="14"/>
  <c r="B316" i="14"/>
  <c r="C315" i="14"/>
  <c r="B315" i="14"/>
  <c r="C314" i="14"/>
  <c r="B314" i="14"/>
  <c r="C313" i="14"/>
  <c r="B313" i="14"/>
  <c r="C312" i="14"/>
  <c r="B312" i="14"/>
  <c r="C311" i="14"/>
  <c r="B311" i="14"/>
  <c r="C310" i="14"/>
  <c r="B310" i="14"/>
  <c r="C309" i="14"/>
  <c r="B309" i="14"/>
  <c r="C308" i="14"/>
  <c r="B308" i="14"/>
  <c r="C307" i="14"/>
  <c r="B307" i="14"/>
  <c r="C306" i="14"/>
  <c r="B306" i="14"/>
  <c r="C305" i="14"/>
  <c r="B305" i="14"/>
  <c r="C304" i="14"/>
  <c r="B304" i="14"/>
  <c r="C303" i="14"/>
  <c r="B303" i="14"/>
  <c r="C302" i="14"/>
  <c r="B302" i="14"/>
  <c r="C301" i="14"/>
  <c r="B301" i="14"/>
  <c r="C300" i="14"/>
  <c r="B300" i="14"/>
  <c r="C299" i="14"/>
  <c r="B299" i="14"/>
  <c r="C298" i="14"/>
  <c r="B298" i="14"/>
  <c r="C297" i="14"/>
  <c r="B297" i="14"/>
  <c r="C296" i="14"/>
  <c r="B296" i="14"/>
  <c r="C295" i="14"/>
  <c r="B295" i="14"/>
  <c r="C294" i="14"/>
  <c r="B294" i="14"/>
  <c r="C293" i="14"/>
  <c r="B293" i="14"/>
  <c r="C292" i="14"/>
  <c r="B292" i="14"/>
  <c r="C291" i="14"/>
  <c r="B291" i="14"/>
  <c r="C290" i="14"/>
  <c r="B290" i="14"/>
  <c r="C289" i="14"/>
  <c r="B289" i="14"/>
  <c r="C288" i="14"/>
  <c r="B288" i="14"/>
  <c r="C287" i="14"/>
  <c r="B287" i="14"/>
  <c r="C286" i="14"/>
  <c r="B286" i="14"/>
  <c r="C285" i="14"/>
  <c r="B285" i="14"/>
  <c r="C284" i="14"/>
  <c r="B284" i="14"/>
  <c r="C283" i="14"/>
  <c r="B283" i="14"/>
  <c r="C282" i="14"/>
  <c r="B282" i="14"/>
  <c r="C281" i="14"/>
  <c r="B281" i="14"/>
  <c r="C280" i="14"/>
  <c r="B280" i="14"/>
  <c r="C279" i="14"/>
  <c r="B279" i="14"/>
  <c r="C278" i="14"/>
  <c r="B278" i="14"/>
  <c r="C277" i="14"/>
  <c r="B277" i="14"/>
  <c r="C276" i="14"/>
  <c r="B276" i="14"/>
  <c r="C275" i="14"/>
  <c r="B275" i="14"/>
  <c r="C274" i="14"/>
  <c r="B274" i="14"/>
  <c r="C273" i="14"/>
  <c r="B273" i="14"/>
  <c r="C272" i="14"/>
  <c r="B272" i="14"/>
  <c r="C271" i="14"/>
  <c r="B271" i="14"/>
  <c r="C270" i="14"/>
  <c r="B270" i="14"/>
  <c r="C269" i="14"/>
  <c r="B269" i="14"/>
  <c r="C268" i="14"/>
  <c r="B268" i="14"/>
  <c r="C267" i="14"/>
  <c r="B267" i="14"/>
  <c r="C266" i="14"/>
  <c r="B266" i="14"/>
  <c r="C265" i="14"/>
  <c r="B265" i="14"/>
  <c r="C264" i="14"/>
  <c r="B264" i="14"/>
  <c r="C263" i="14"/>
  <c r="B263" i="14"/>
  <c r="C262" i="14"/>
  <c r="B262" i="14"/>
  <c r="C261" i="14"/>
  <c r="B261" i="14"/>
  <c r="C260" i="14"/>
  <c r="B260" i="14"/>
  <c r="C259" i="14"/>
  <c r="B259" i="14"/>
  <c r="C258" i="14"/>
  <c r="B258" i="14"/>
  <c r="C257" i="14"/>
  <c r="B257" i="14"/>
  <c r="C256" i="14"/>
  <c r="B256" i="14"/>
  <c r="C255" i="14"/>
  <c r="B255" i="14"/>
  <c r="C254" i="14"/>
  <c r="B254" i="14"/>
  <c r="C253" i="14"/>
  <c r="B253" i="14"/>
  <c r="C252" i="14"/>
  <c r="B252" i="14"/>
  <c r="C251" i="14"/>
  <c r="B251" i="14"/>
  <c r="C250" i="14"/>
  <c r="B250" i="14"/>
  <c r="C249" i="14"/>
  <c r="B249" i="14"/>
  <c r="C248" i="14"/>
  <c r="B248" i="14"/>
  <c r="C247" i="14"/>
  <c r="B247" i="14"/>
  <c r="C246" i="14"/>
  <c r="B246" i="14"/>
  <c r="C245" i="14"/>
  <c r="B245" i="14"/>
  <c r="C244" i="14"/>
  <c r="B244" i="14"/>
  <c r="C243" i="14"/>
  <c r="B243" i="14"/>
  <c r="C242" i="14"/>
  <c r="B242" i="14"/>
  <c r="C241" i="14"/>
  <c r="B241" i="14"/>
  <c r="C240" i="14"/>
  <c r="B240" i="14"/>
  <c r="C239" i="14"/>
  <c r="B239" i="14"/>
  <c r="C238" i="14"/>
  <c r="B238" i="14"/>
  <c r="C237" i="14"/>
  <c r="B237" i="14"/>
  <c r="C236" i="14"/>
  <c r="B236" i="14"/>
  <c r="C235" i="14"/>
  <c r="B235" i="14"/>
  <c r="C234" i="14"/>
  <c r="B234" i="14"/>
  <c r="C233" i="14"/>
  <c r="B233" i="14"/>
  <c r="C232" i="14"/>
  <c r="B232" i="14"/>
  <c r="C231" i="14"/>
  <c r="B231" i="14"/>
  <c r="C230" i="14"/>
  <c r="B230" i="14"/>
  <c r="C229" i="14"/>
  <c r="B229" i="14"/>
  <c r="C228" i="14"/>
  <c r="B228" i="14"/>
  <c r="C227" i="14"/>
  <c r="B227" i="14"/>
  <c r="C226" i="14"/>
  <c r="B226" i="14"/>
  <c r="C225" i="14"/>
  <c r="B225" i="14"/>
  <c r="C224" i="14"/>
  <c r="B224" i="14"/>
  <c r="C223" i="14"/>
  <c r="B223" i="14"/>
  <c r="C222" i="14"/>
  <c r="B222" i="14"/>
  <c r="C221" i="14"/>
  <c r="B221" i="14"/>
  <c r="C220" i="14"/>
  <c r="B220" i="14"/>
  <c r="C219" i="14"/>
  <c r="B219" i="14"/>
  <c r="C218" i="14"/>
  <c r="B218" i="14"/>
  <c r="C217" i="14"/>
  <c r="B217" i="14"/>
  <c r="C216" i="14"/>
  <c r="B216" i="14"/>
  <c r="C215" i="14"/>
  <c r="B215" i="14"/>
  <c r="C214" i="14"/>
  <c r="B214" i="14"/>
  <c r="C213" i="14"/>
  <c r="B213" i="14"/>
  <c r="C212" i="14"/>
  <c r="B212" i="14"/>
  <c r="C211" i="14"/>
  <c r="B211" i="14"/>
  <c r="C210" i="14"/>
  <c r="B210" i="14"/>
  <c r="C209" i="14"/>
  <c r="B209" i="14"/>
  <c r="C208" i="14"/>
  <c r="B208" i="14"/>
  <c r="C207" i="14"/>
  <c r="B207" i="14"/>
  <c r="C206" i="14"/>
  <c r="B206" i="14"/>
  <c r="C205" i="14"/>
  <c r="B205" i="14"/>
  <c r="C204" i="14"/>
  <c r="B204" i="14"/>
  <c r="C203" i="14"/>
  <c r="B203" i="14"/>
  <c r="C202" i="14"/>
  <c r="B202" i="14"/>
  <c r="C201" i="14"/>
  <c r="B201" i="14"/>
  <c r="C200" i="14"/>
  <c r="B200" i="14"/>
  <c r="C199" i="14"/>
  <c r="B199" i="14"/>
  <c r="C198" i="14"/>
  <c r="B198" i="14"/>
  <c r="C197" i="14"/>
  <c r="B197" i="14"/>
  <c r="C196" i="14"/>
  <c r="B196" i="14"/>
  <c r="C195" i="14"/>
  <c r="B195" i="14"/>
  <c r="C194" i="14"/>
  <c r="B194" i="14"/>
  <c r="C193" i="14"/>
  <c r="B193" i="14"/>
  <c r="C192" i="14"/>
  <c r="B192" i="14"/>
  <c r="C191" i="14"/>
  <c r="B191" i="14"/>
  <c r="C190" i="14"/>
  <c r="B190" i="14"/>
  <c r="C189" i="14"/>
  <c r="B189" i="14"/>
  <c r="C188" i="14"/>
  <c r="B188" i="14"/>
  <c r="C187" i="14"/>
  <c r="B187" i="14"/>
  <c r="C186" i="14"/>
  <c r="B186" i="14"/>
  <c r="C185" i="14"/>
  <c r="B185" i="14"/>
  <c r="C184" i="14"/>
  <c r="B184" i="14"/>
  <c r="C183" i="14"/>
  <c r="B183" i="14"/>
  <c r="C182" i="14"/>
  <c r="B182" i="14"/>
  <c r="C181" i="14"/>
  <c r="B181" i="14"/>
  <c r="C180" i="14"/>
  <c r="B180" i="14"/>
  <c r="C179" i="14"/>
  <c r="B179" i="14"/>
  <c r="C178" i="14"/>
  <c r="B178" i="14"/>
  <c r="C177" i="14"/>
  <c r="B177" i="14"/>
  <c r="C176" i="14"/>
  <c r="B176" i="14"/>
  <c r="C175" i="14"/>
  <c r="B175" i="14"/>
  <c r="C174" i="14"/>
  <c r="B174" i="14"/>
  <c r="C173" i="14"/>
  <c r="B173" i="14"/>
  <c r="C172" i="14"/>
  <c r="B172" i="14"/>
  <c r="C171" i="14"/>
  <c r="B171" i="14"/>
  <c r="C170" i="14"/>
  <c r="B170" i="14"/>
  <c r="C169" i="14"/>
  <c r="B169" i="14"/>
  <c r="C168" i="14"/>
  <c r="B168" i="14"/>
  <c r="C167" i="14"/>
  <c r="B167" i="14"/>
  <c r="C166" i="14"/>
  <c r="B166" i="14"/>
  <c r="C165" i="14"/>
  <c r="B165" i="14"/>
  <c r="C164" i="14"/>
  <c r="B164" i="14"/>
  <c r="C163" i="14"/>
  <c r="B163" i="14"/>
  <c r="C162" i="14"/>
  <c r="B162" i="14"/>
  <c r="C161" i="14"/>
  <c r="B161" i="14"/>
  <c r="C160" i="14"/>
  <c r="B160" i="14"/>
  <c r="C159" i="14"/>
  <c r="B159" i="14"/>
  <c r="C158" i="14"/>
  <c r="B158" i="14"/>
  <c r="C157" i="14"/>
  <c r="B157" i="14"/>
  <c r="C156" i="14"/>
  <c r="B156" i="14"/>
  <c r="C155" i="14"/>
  <c r="B155" i="14"/>
  <c r="C154" i="14"/>
  <c r="B154" i="14"/>
  <c r="C153" i="14"/>
  <c r="B153" i="14"/>
  <c r="C152" i="14"/>
  <c r="B152" i="14"/>
  <c r="C151" i="14"/>
  <c r="B151" i="14"/>
  <c r="C150" i="14"/>
  <c r="B150" i="14"/>
  <c r="C149" i="14"/>
  <c r="B149" i="14"/>
  <c r="C148" i="14"/>
  <c r="B148" i="14"/>
  <c r="C147" i="14"/>
  <c r="B147" i="14"/>
  <c r="C146" i="14"/>
  <c r="B146" i="14"/>
  <c r="C145" i="14"/>
  <c r="B145" i="14"/>
  <c r="C144" i="14"/>
  <c r="B144" i="14"/>
  <c r="C143" i="14"/>
  <c r="B143" i="14"/>
  <c r="C142" i="14"/>
  <c r="B142" i="14"/>
  <c r="C141" i="14"/>
  <c r="B141" i="14"/>
  <c r="C140" i="14"/>
  <c r="B140" i="14"/>
  <c r="C139" i="14"/>
  <c r="B139" i="14"/>
  <c r="C138" i="14"/>
  <c r="B138" i="14"/>
  <c r="C137" i="14"/>
  <c r="B137" i="14"/>
  <c r="C136" i="14"/>
  <c r="B136" i="14"/>
  <c r="C135" i="14"/>
  <c r="B135" i="14"/>
  <c r="C134" i="14"/>
  <c r="B134" i="14"/>
  <c r="C133" i="14"/>
  <c r="B133" i="14"/>
  <c r="C132" i="14"/>
  <c r="B132" i="14"/>
  <c r="C131" i="14"/>
  <c r="B131" i="14"/>
  <c r="C130" i="14"/>
  <c r="B130" i="14"/>
  <c r="C129" i="14"/>
  <c r="B129" i="14"/>
  <c r="C128" i="14"/>
  <c r="B128" i="14"/>
  <c r="C127" i="14"/>
  <c r="B127" i="14"/>
  <c r="C126" i="14"/>
  <c r="B126" i="14"/>
  <c r="C125" i="14"/>
  <c r="B125" i="14"/>
  <c r="C124" i="14"/>
  <c r="B124" i="14"/>
  <c r="C123" i="14"/>
  <c r="B123" i="14"/>
  <c r="C122" i="14"/>
  <c r="B122" i="14"/>
  <c r="C121" i="14"/>
  <c r="B121" i="14"/>
  <c r="C120" i="14"/>
  <c r="B120" i="14"/>
  <c r="C119" i="14"/>
  <c r="B119" i="14"/>
  <c r="C118" i="14"/>
  <c r="B118" i="14"/>
  <c r="C117" i="14"/>
  <c r="B117" i="14"/>
  <c r="C116" i="14"/>
  <c r="B116" i="14"/>
  <c r="C115" i="14"/>
  <c r="B115" i="14"/>
  <c r="C114" i="14"/>
  <c r="B114" i="14"/>
  <c r="C113" i="14"/>
  <c r="B113" i="14"/>
  <c r="C112" i="14"/>
  <c r="B112" i="14"/>
  <c r="C111" i="14"/>
  <c r="B111" i="14"/>
  <c r="C110" i="14"/>
  <c r="B110" i="14"/>
  <c r="C109" i="14"/>
  <c r="B109" i="14"/>
  <c r="C108" i="14"/>
  <c r="B108" i="14"/>
  <c r="C107" i="14"/>
  <c r="B107" i="14"/>
  <c r="C106" i="14"/>
  <c r="B106" i="14"/>
  <c r="C105" i="14"/>
  <c r="B105" i="14"/>
  <c r="C104" i="14"/>
  <c r="B104" i="14"/>
  <c r="C103" i="14"/>
  <c r="B103" i="14"/>
  <c r="C102" i="14"/>
  <c r="B102" i="14"/>
  <c r="C101" i="14"/>
  <c r="B101" i="14"/>
  <c r="C100" i="14"/>
  <c r="B100" i="14"/>
  <c r="C99" i="14"/>
  <c r="B99" i="14"/>
  <c r="C98" i="14"/>
  <c r="B98" i="14"/>
  <c r="C97" i="14"/>
  <c r="B97" i="14"/>
  <c r="C96" i="14"/>
  <c r="B96" i="14"/>
  <c r="C95" i="14"/>
  <c r="B95" i="14"/>
  <c r="C94" i="14"/>
  <c r="B94" i="14"/>
  <c r="C93" i="14"/>
  <c r="B93" i="14"/>
  <c r="C92" i="14"/>
  <c r="B92" i="14"/>
  <c r="C91" i="14"/>
  <c r="B91" i="14"/>
  <c r="C90" i="14"/>
  <c r="B90" i="14"/>
  <c r="C89" i="14"/>
  <c r="B89" i="14"/>
  <c r="C88" i="14"/>
  <c r="B88" i="14"/>
  <c r="C87" i="14"/>
  <c r="B87" i="14"/>
  <c r="C86" i="14"/>
  <c r="B86" i="14"/>
  <c r="C85" i="14"/>
  <c r="B85" i="14"/>
  <c r="C84" i="14"/>
  <c r="B84" i="14"/>
  <c r="C83" i="14"/>
  <c r="B83" i="14"/>
  <c r="C82" i="14"/>
  <c r="B82" i="14"/>
  <c r="C81" i="14"/>
  <c r="B81" i="14"/>
  <c r="C80" i="14"/>
  <c r="B80" i="14"/>
  <c r="C79" i="14"/>
  <c r="B79" i="14"/>
  <c r="C78" i="14"/>
  <c r="B78" i="14"/>
  <c r="C77" i="14"/>
  <c r="B77" i="14"/>
  <c r="C76" i="14"/>
  <c r="B76" i="14"/>
  <c r="C75" i="14"/>
  <c r="B75" i="14"/>
  <c r="C74" i="14"/>
  <c r="B74" i="14"/>
  <c r="C73" i="14"/>
  <c r="B73" i="14"/>
  <c r="C72" i="14"/>
  <c r="B72" i="14"/>
  <c r="C71" i="14"/>
  <c r="B71" i="14"/>
  <c r="C70" i="14"/>
  <c r="B70" i="14"/>
  <c r="C69" i="14"/>
  <c r="B69" i="14"/>
  <c r="C68" i="14"/>
  <c r="B68" i="14"/>
  <c r="C67" i="14"/>
  <c r="B67" i="14"/>
  <c r="C66" i="14"/>
  <c r="B66" i="14"/>
  <c r="C65" i="14"/>
  <c r="B65" i="14"/>
  <c r="C64" i="14"/>
  <c r="B64" i="14"/>
  <c r="C63" i="14"/>
  <c r="B63" i="14"/>
  <c r="C62" i="14"/>
  <c r="B62" i="14"/>
  <c r="C61" i="14"/>
  <c r="B61" i="14"/>
  <c r="C60" i="14"/>
  <c r="B60" i="14"/>
  <c r="C59" i="14"/>
  <c r="B59" i="14"/>
  <c r="C58" i="14"/>
  <c r="B58" i="14"/>
  <c r="C57" i="14"/>
  <c r="B57" i="14"/>
  <c r="C56" i="14"/>
  <c r="B56" i="14"/>
  <c r="C55" i="14"/>
  <c r="B55" i="14"/>
  <c r="C54" i="14"/>
  <c r="B54" i="14"/>
  <c r="C53" i="14"/>
  <c r="B53" i="14"/>
  <c r="C52" i="14"/>
  <c r="B52" i="14"/>
  <c r="C51" i="14"/>
  <c r="B51" i="14"/>
  <c r="C50" i="14"/>
  <c r="B50" i="14"/>
  <c r="C49" i="14"/>
  <c r="B49" i="14"/>
  <c r="C48" i="14"/>
  <c r="B48" i="14"/>
  <c r="C47" i="14"/>
  <c r="B47" i="14"/>
  <c r="C46" i="14"/>
  <c r="B46" i="14"/>
  <c r="C45" i="14"/>
  <c r="B45" i="14"/>
  <c r="C514" i="13"/>
  <c r="B514" i="13"/>
  <c r="C513" i="13"/>
  <c r="B513" i="13"/>
  <c r="C512" i="13"/>
  <c r="B512" i="13"/>
  <c r="C511" i="13"/>
  <c r="B511" i="13"/>
  <c r="C510" i="13"/>
  <c r="B510" i="13"/>
  <c r="C509" i="13"/>
  <c r="B509" i="13"/>
  <c r="C508" i="13"/>
  <c r="B508" i="13"/>
  <c r="C507" i="13"/>
  <c r="B507" i="13"/>
  <c r="C506" i="13"/>
  <c r="B506" i="13"/>
  <c r="C505" i="13"/>
  <c r="B505" i="13"/>
  <c r="C504" i="13"/>
  <c r="B504" i="13"/>
  <c r="C503" i="13"/>
  <c r="B503" i="13"/>
  <c r="C502" i="13"/>
  <c r="B502" i="13"/>
  <c r="C501" i="13"/>
  <c r="B501" i="13"/>
  <c r="C500" i="13"/>
  <c r="B500" i="13"/>
  <c r="C499" i="13"/>
  <c r="B499" i="13"/>
  <c r="C498" i="13"/>
  <c r="B498" i="13"/>
  <c r="C497" i="13"/>
  <c r="B497" i="13"/>
  <c r="C496" i="13"/>
  <c r="B496" i="13"/>
  <c r="C495" i="13"/>
  <c r="B495" i="13"/>
  <c r="C494" i="13"/>
  <c r="B494" i="13"/>
  <c r="C493" i="13"/>
  <c r="B493" i="13"/>
  <c r="C492" i="13"/>
  <c r="B492" i="13"/>
  <c r="C491" i="13"/>
  <c r="B491" i="13"/>
  <c r="C490" i="13"/>
  <c r="B490" i="13"/>
  <c r="C489" i="13"/>
  <c r="B489" i="13"/>
  <c r="C488" i="13"/>
  <c r="B488" i="13"/>
  <c r="C487" i="13"/>
  <c r="B487" i="13"/>
  <c r="C486" i="13"/>
  <c r="B486" i="13"/>
  <c r="C485" i="13"/>
  <c r="B485" i="13"/>
  <c r="C484" i="13"/>
  <c r="B484" i="13"/>
  <c r="C483" i="13"/>
  <c r="B483" i="13"/>
  <c r="C482" i="13"/>
  <c r="B482" i="13"/>
  <c r="C481" i="13"/>
  <c r="B481" i="13"/>
  <c r="C480" i="13"/>
  <c r="B480" i="13"/>
  <c r="C479" i="13"/>
  <c r="B479" i="13"/>
  <c r="C478" i="13"/>
  <c r="B478" i="13"/>
  <c r="C477" i="13"/>
  <c r="B477" i="13"/>
  <c r="C476" i="13"/>
  <c r="B476" i="13"/>
  <c r="C475" i="13"/>
  <c r="B475" i="13"/>
  <c r="C474" i="13"/>
  <c r="B474" i="13"/>
  <c r="C473" i="13"/>
  <c r="B473" i="13"/>
  <c r="C472" i="13"/>
  <c r="B472" i="13"/>
  <c r="C471" i="13"/>
  <c r="B471" i="13"/>
  <c r="C470" i="13"/>
  <c r="B470" i="13"/>
  <c r="C469" i="13"/>
  <c r="B469" i="13"/>
  <c r="C468" i="13"/>
  <c r="B468" i="13"/>
  <c r="C467" i="13"/>
  <c r="B467" i="13"/>
  <c r="C466" i="13"/>
  <c r="B466" i="13"/>
  <c r="C465" i="13"/>
  <c r="B465" i="13"/>
  <c r="C464" i="13"/>
  <c r="B464" i="13"/>
  <c r="C463" i="13"/>
  <c r="B463" i="13"/>
  <c r="C462" i="13"/>
  <c r="B462" i="13"/>
  <c r="C461" i="13"/>
  <c r="B461" i="13"/>
  <c r="C460" i="13"/>
  <c r="B460" i="13"/>
  <c r="C459" i="13"/>
  <c r="B459" i="13"/>
  <c r="C458" i="13"/>
  <c r="B458" i="13"/>
  <c r="C457" i="13"/>
  <c r="B457" i="13"/>
  <c r="C456" i="13"/>
  <c r="B456" i="13"/>
  <c r="C455" i="13"/>
  <c r="B455" i="13"/>
  <c r="C454" i="13"/>
  <c r="B454" i="13"/>
  <c r="C453" i="13"/>
  <c r="B453" i="13"/>
  <c r="C452" i="13"/>
  <c r="B452" i="13"/>
  <c r="C451" i="13"/>
  <c r="B451" i="13"/>
  <c r="C450" i="13"/>
  <c r="B450" i="13"/>
  <c r="C449" i="13"/>
  <c r="B449" i="13"/>
  <c r="C448" i="13"/>
  <c r="B448" i="13"/>
  <c r="C447" i="13"/>
  <c r="B447" i="13"/>
  <c r="C446" i="13"/>
  <c r="B446" i="13"/>
  <c r="C445" i="13"/>
  <c r="B445" i="13"/>
  <c r="C444" i="13"/>
  <c r="B444" i="13"/>
  <c r="C443" i="13"/>
  <c r="B443" i="13"/>
  <c r="C442" i="13"/>
  <c r="B442" i="13"/>
  <c r="C441" i="13"/>
  <c r="B441" i="13"/>
  <c r="C440" i="13"/>
  <c r="B440" i="13"/>
  <c r="C439" i="13"/>
  <c r="B439" i="13"/>
  <c r="C438" i="13"/>
  <c r="B438" i="13"/>
  <c r="C437" i="13"/>
  <c r="B437" i="13"/>
  <c r="C436" i="13"/>
  <c r="B436" i="13"/>
  <c r="C435" i="13"/>
  <c r="B435" i="13"/>
  <c r="C434" i="13"/>
  <c r="B434" i="13"/>
  <c r="C433" i="13"/>
  <c r="B433" i="13"/>
  <c r="C432" i="13"/>
  <c r="B432" i="13"/>
  <c r="C431" i="13"/>
  <c r="B431" i="13"/>
  <c r="C430" i="13"/>
  <c r="B430" i="13"/>
  <c r="C429" i="13"/>
  <c r="B429" i="13"/>
  <c r="C428" i="13"/>
  <c r="B428" i="13"/>
  <c r="C427" i="13"/>
  <c r="B427" i="13"/>
  <c r="C426" i="13"/>
  <c r="B426" i="13"/>
  <c r="C425" i="13"/>
  <c r="B425" i="13"/>
  <c r="C424" i="13"/>
  <c r="B424" i="13"/>
  <c r="C423" i="13"/>
  <c r="B423" i="13"/>
  <c r="C422" i="13"/>
  <c r="B422" i="13"/>
  <c r="C421" i="13"/>
  <c r="B421" i="13"/>
  <c r="C420" i="13"/>
  <c r="B420" i="13"/>
  <c r="C419" i="13"/>
  <c r="B419" i="13"/>
  <c r="C418" i="13"/>
  <c r="B418" i="13"/>
  <c r="C417" i="13"/>
  <c r="B417" i="13"/>
  <c r="C416" i="13"/>
  <c r="B416" i="13"/>
  <c r="C415" i="13"/>
  <c r="B415" i="13"/>
  <c r="C414" i="13"/>
  <c r="B414" i="13"/>
  <c r="C413" i="13"/>
  <c r="B413" i="13"/>
  <c r="C412" i="13"/>
  <c r="B412" i="13"/>
  <c r="C411" i="13"/>
  <c r="B411" i="13"/>
  <c r="C410" i="13"/>
  <c r="B410" i="13"/>
  <c r="C409" i="13"/>
  <c r="B409" i="13"/>
  <c r="C408" i="13"/>
  <c r="B408" i="13"/>
  <c r="C407" i="13"/>
  <c r="B407" i="13"/>
  <c r="C406" i="13"/>
  <c r="B406" i="13"/>
  <c r="C405" i="13"/>
  <c r="B405" i="13"/>
  <c r="C404" i="13"/>
  <c r="B404" i="13"/>
  <c r="C403" i="13"/>
  <c r="B403" i="13"/>
  <c r="C402" i="13"/>
  <c r="B402" i="13"/>
  <c r="C401" i="13"/>
  <c r="B401" i="13"/>
  <c r="C400" i="13"/>
  <c r="B400" i="13"/>
  <c r="C399" i="13"/>
  <c r="B399" i="13"/>
  <c r="C398" i="13"/>
  <c r="B398" i="13"/>
  <c r="C397" i="13"/>
  <c r="B397" i="13"/>
  <c r="C396" i="13"/>
  <c r="B396" i="13"/>
  <c r="C395" i="13"/>
  <c r="B395" i="13"/>
  <c r="C394" i="13"/>
  <c r="B394" i="13"/>
  <c r="C393" i="13"/>
  <c r="B393" i="13"/>
  <c r="C392" i="13"/>
  <c r="B392" i="13"/>
  <c r="C391" i="13"/>
  <c r="B391" i="13"/>
  <c r="C390" i="13"/>
  <c r="B390" i="13"/>
  <c r="C389" i="13"/>
  <c r="B389" i="13"/>
  <c r="C388" i="13"/>
  <c r="B388" i="13"/>
  <c r="C387" i="13"/>
  <c r="B387" i="13"/>
  <c r="C386" i="13"/>
  <c r="B386" i="13"/>
  <c r="C385" i="13"/>
  <c r="B385" i="13"/>
  <c r="C384" i="13"/>
  <c r="B384" i="13"/>
  <c r="C383" i="13"/>
  <c r="B383" i="13"/>
  <c r="C382" i="13"/>
  <c r="B382" i="13"/>
  <c r="C381" i="13"/>
  <c r="B381" i="13"/>
  <c r="C380" i="13"/>
  <c r="B380" i="13"/>
  <c r="C379" i="13"/>
  <c r="B379" i="13"/>
  <c r="C378" i="13"/>
  <c r="B378" i="13"/>
  <c r="C377" i="13"/>
  <c r="B377" i="13"/>
  <c r="C376" i="13"/>
  <c r="B376" i="13"/>
  <c r="C375" i="13"/>
  <c r="B375" i="13"/>
  <c r="C374" i="13"/>
  <c r="B374" i="13"/>
  <c r="C373" i="13"/>
  <c r="B373" i="13"/>
  <c r="C372" i="13"/>
  <c r="B372" i="13"/>
  <c r="C371" i="13"/>
  <c r="B371" i="13"/>
  <c r="C370" i="13"/>
  <c r="B370" i="13"/>
  <c r="C369" i="13"/>
  <c r="B369" i="13"/>
  <c r="C368" i="13"/>
  <c r="B368" i="13"/>
  <c r="C367" i="13"/>
  <c r="B367" i="13"/>
  <c r="C366" i="13"/>
  <c r="B366" i="13"/>
  <c r="C365" i="13"/>
  <c r="B365" i="13"/>
  <c r="C364" i="13"/>
  <c r="B364" i="13"/>
  <c r="C363" i="13"/>
  <c r="B363" i="13"/>
  <c r="C362" i="13"/>
  <c r="B362" i="13"/>
  <c r="C361" i="13"/>
  <c r="B361" i="13"/>
  <c r="C360" i="13"/>
  <c r="B360" i="13"/>
  <c r="C359" i="13"/>
  <c r="B359" i="13"/>
  <c r="C358" i="13"/>
  <c r="B358" i="13"/>
  <c r="C357" i="13"/>
  <c r="B357" i="13"/>
  <c r="C356" i="13"/>
  <c r="B356" i="13"/>
  <c r="C355" i="13"/>
  <c r="B355" i="13"/>
  <c r="C354" i="13"/>
  <c r="B354" i="13"/>
  <c r="C353" i="13"/>
  <c r="B353" i="13"/>
  <c r="C352" i="13"/>
  <c r="B352" i="13"/>
  <c r="C351" i="13"/>
  <c r="B351" i="13"/>
  <c r="C350" i="13"/>
  <c r="B350" i="13"/>
  <c r="C349" i="13"/>
  <c r="B349" i="13"/>
  <c r="C348" i="13"/>
  <c r="B348" i="13"/>
  <c r="C347" i="13"/>
  <c r="B347" i="13"/>
  <c r="C346" i="13"/>
  <c r="B346" i="13"/>
  <c r="C345" i="13"/>
  <c r="B345" i="13"/>
  <c r="C344" i="13"/>
  <c r="B344" i="13"/>
  <c r="C343" i="13"/>
  <c r="B343" i="13"/>
  <c r="C342" i="13"/>
  <c r="B342" i="13"/>
  <c r="C341" i="13"/>
  <c r="B341" i="13"/>
  <c r="C340" i="13"/>
  <c r="B340" i="13"/>
  <c r="C339" i="13"/>
  <c r="B339" i="13"/>
  <c r="C338" i="13"/>
  <c r="B338" i="13"/>
  <c r="C337" i="13"/>
  <c r="B337" i="13"/>
  <c r="C336" i="13"/>
  <c r="B336" i="13"/>
  <c r="C335" i="13"/>
  <c r="B335" i="13"/>
  <c r="C334" i="13"/>
  <c r="B334" i="13"/>
  <c r="C333" i="13"/>
  <c r="B333" i="13"/>
  <c r="C332" i="13"/>
  <c r="B332" i="13"/>
  <c r="C331" i="13"/>
  <c r="B331" i="13"/>
  <c r="C330" i="13"/>
  <c r="B330" i="13"/>
  <c r="C329" i="13"/>
  <c r="B329" i="13"/>
  <c r="C328" i="13"/>
  <c r="B328" i="13"/>
  <c r="C327" i="13"/>
  <c r="B327" i="13"/>
  <c r="C326" i="13"/>
  <c r="B326" i="13"/>
  <c r="C325" i="13"/>
  <c r="B325" i="13"/>
  <c r="C324" i="13"/>
  <c r="B324" i="13"/>
  <c r="C323" i="13"/>
  <c r="B323" i="13"/>
  <c r="C322" i="13"/>
  <c r="B322" i="13"/>
  <c r="C321" i="13"/>
  <c r="B321" i="13"/>
  <c r="C320" i="13"/>
  <c r="B320" i="13"/>
  <c r="C319" i="13"/>
  <c r="B319" i="13"/>
  <c r="C318" i="13"/>
  <c r="B318" i="13"/>
  <c r="C317" i="13"/>
  <c r="B317" i="13"/>
  <c r="C316" i="13"/>
  <c r="B316" i="13"/>
  <c r="C315" i="13"/>
  <c r="B315" i="13"/>
  <c r="C314" i="13"/>
  <c r="B314" i="13"/>
  <c r="C313" i="13"/>
  <c r="B313" i="13"/>
  <c r="C312" i="13"/>
  <c r="B312" i="13"/>
  <c r="C311" i="13"/>
  <c r="B311" i="13"/>
  <c r="C310" i="13"/>
  <c r="B310" i="13"/>
  <c r="C309" i="13"/>
  <c r="B309" i="13"/>
  <c r="C308" i="13"/>
  <c r="B308" i="13"/>
  <c r="C307" i="13"/>
  <c r="B307" i="13"/>
  <c r="C306" i="13"/>
  <c r="B306" i="13"/>
  <c r="C305" i="13"/>
  <c r="B305" i="13"/>
  <c r="C304" i="13"/>
  <c r="B304" i="13"/>
  <c r="C303" i="13"/>
  <c r="B303" i="13"/>
  <c r="C302" i="13"/>
  <c r="B302" i="13"/>
  <c r="C301" i="13"/>
  <c r="B301" i="13"/>
  <c r="C300" i="13"/>
  <c r="B300" i="13"/>
  <c r="C299" i="13"/>
  <c r="B299" i="13"/>
  <c r="C298" i="13"/>
  <c r="B298" i="13"/>
  <c r="C297" i="13"/>
  <c r="B297" i="13"/>
  <c r="C296" i="13"/>
  <c r="B296" i="13"/>
  <c r="C295" i="13"/>
  <c r="B295" i="13"/>
  <c r="C294" i="13"/>
  <c r="B294" i="13"/>
  <c r="C293" i="13"/>
  <c r="B293" i="13"/>
  <c r="C292" i="13"/>
  <c r="B292" i="13"/>
  <c r="C291" i="13"/>
  <c r="B291" i="13"/>
  <c r="C290" i="13"/>
  <c r="B290" i="13"/>
  <c r="C289" i="13"/>
  <c r="B289" i="13"/>
  <c r="C288" i="13"/>
  <c r="B288" i="13"/>
  <c r="C287" i="13"/>
  <c r="B287" i="13"/>
  <c r="C286" i="13"/>
  <c r="B286" i="13"/>
  <c r="C285" i="13"/>
  <c r="B285" i="13"/>
  <c r="C284" i="13"/>
  <c r="B284" i="13"/>
  <c r="C283" i="13"/>
  <c r="B283" i="13"/>
  <c r="C282" i="13"/>
  <c r="B282" i="13"/>
  <c r="C281" i="13"/>
  <c r="B281" i="13"/>
  <c r="C280" i="13"/>
  <c r="B280" i="13"/>
  <c r="C279" i="13"/>
  <c r="B279" i="13"/>
  <c r="C278" i="13"/>
  <c r="B278" i="13"/>
  <c r="C277" i="13"/>
  <c r="B277" i="13"/>
  <c r="C276" i="13"/>
  <c r="B276" i="13"/>
  <c r="C275" i="13"/>
  <c r="B275" i="13"/>
  <c r="C274" i="13"/>
  <c r="B274" i="13"/>
  <c r="C273" i="13"/>
  <c r="B273" i="13"/>
  <c r="C272" i="13"/>
  <c r="B272" i="13"/>
  <c r="C271" i="13"/>
  <c r="B271" i="13"/>
  <c r="C270" i="13"/>
  <c r="B270" i="13"/>
  <c r="C269" i="13"/>
  <c r="B269" i="13"/>
  <c r="C268" i="13"/>
  <c r="B268" i="13"/>
  <c r="C267" i="13"/>
  <c r="B267" i="13"/>
  <c r="C266" i="13"/>
  <c r="B266" i="13"/>
  <c r="C265" i="13"/>
  <c r="B265" i="13"/>
  <c r="C264" i="13"/>
  <c r="B264" i="13"/>
  <c r="C263" i="13"/>
  <c r="B263" i="13"/>
  <c r="C262" i="13"/>
  <c r="B262" i="13"/>
  <c r="C261" i="13"/>
  <c r="B261" i="13"/>
  <c r="C260" i="13"/>
  <c r="B260" i="13"/>
  <c r="C259" i="13"/>
  <c r="B259" i="13"/>
  <c r="C258" i="13"/>
  <c r="B258" i="13"/>
  <c r="C257" i="13"/>
  <c r="B257" i="13"/>
  <c r="C256" i="13"/>
  <c r="B256" i="13"/>
  <c r="C255" i="13"/>
  <c r="B255" i="13"/>
  <c r="C254" i="13"/>
  <c r="B254" i="13"/>
  <c r="C253" i="13"/>
  <c r="B253" i="13"/>
  <c r="C252" i="13"/>
  <c r="B252" i="13"/>
  <c r="C251" i="13"/>
  <c r="B251" i="13"/>
  <c r="C250" i="13"/>
  <c r="B250" i="13"/>
  <c r="C249" i="13"/>
  <c r="B249" i="13"/>
  <c r="C248" i="13"/>
  <c r="B248" i="13"/>
  <c r="C247" i="13"/>
  <c r="B247" i="13"/>
  <c r="C246" i="13"/>
  <c r="B246" i="13"/>
  <c r="C245" i="13"/>
  <c r="B245" i="13"/>
  <c r="C244" i="13"/>
  <c r="B244" i="13"/>
  <c r="C243" i="13"/>
  <c r="B243" i="13"/>
  <c r="C242" i="13"/>
  <c r="B242" i="13"/>
  <c r="C241" i="13"/>
  <c r="B241" i="13"/>
  <c r="C240" i="13"/>
  <c r="B240" i="13"/>
  <c r="C239" i="13"/>
  <c r="B239" i="13"/>
  <c r="C238" i="13"/>
  <c r="B238" i="13"/>
  <c r="C237" i="13"/>
  <c r="B237" i="13"/>
  <c r="C236" i="13"/>
  <c r="B236" i="13"/>
  <c r="C235" i="13"/>
  <c r="B235" i="13"/>
  <c r="C234" i="13"/>
  <c r="B234" i="13"/>
  <c r="C233" i="13"/>
  <c r="B233" i="13"/>
  <c r="C232" i="13"/>
  <c r="B232" i="13"/>
  <c r="C231" i="13"/>
  <c r="B231" i="13"/>
  <c r="C230" i="13"/>
  <c r="B230" i="13"/>
  <c r="C229" i="13"/>
  <c r="B229" i="13"/>
  <c r="C228" i="13"/>
  <c r="B228" i="13"/>
  <c r="C227" i="13"/>
  <c r="B227" i="13"/>
  <c r="C226" i="13"/>
  <c r="B226" i="13"/>
  <c r="C225" i="13"/>
  <c r="B225" i="13"/>
  <c r="C224" i="13"/>
  <c r="B224" i="13"/>
  <c r="C223" i="13"/>
  <c r="B223" i="13"/>
  <c r="C222" i="13"/>
  <c r="B222" i="13"/>
  <c r="C221" i="13"/>
  <c r="B221" i="13"/>
  <c r="C220" i="13"/>
  <c r="B220" i="13"/>
  <c r="C219" i="13"/>
  <c r="B219" i="13"/>
  <c r="C218" i="13"/>
  <c r="B218" i="13"/>
  <c r="C217" i="13"/>
  <c r="B217" i="13"/>
  <c r="C216" i="13"/>
  <c r="B216" i="13"/>
  <c r="C215" i="13"/>
  <c r="B215" i="13"/>
  <c r="C214" i="13"/>
  <c r="B214" i="13"/>
  <c r="C213" i="13"/>
  <c r="B213" i="13"/>
  <c r="C212" i="13"/>
  <c r="B212" i="13"/>
  <c r="C211" i="13"/>
  <c r="B211" i="13"/>
  <c r="C210" i="13"/>
  <c r="B210" i="13"/>
  <c r="C209" i="13"/>
  <c r="B209" i="13"/>
  <c r="C208" i="13"/>
  <c r="B208" i="13"/>
  <c r="C207" i="13"/>
  <c r="B207" i="13"/>
  <c r="C206" i="13"/>
  <c r="B206" i="13"/>
  <c r="C205" i="13"/>
  <c r="B205" i="13"/>
  <c r="C204" i="13"/>
  <c r="B204" i="13"/>
  <c r="C203" i="13"/>
  <c r="B203" i="13"/>
  <c r="C202" i="13"/>
  <c r="B202" i="13"/>
  <c r="C201" i="13"/>
  <c r="B201" i="13"/>
  <c r="C200" i="13"/>
  <c r="B200" i="13"/>
  <c r="C199" i="13"/>
  <c r="B199" i="13"/>
  <c r="C198" i="13"/>
  <c r="B198" i="13"/>
  <c r="C197" i="13"/>
  <c r="B197" i="13"/>
  <c r="C196" i="13"/>
  <c r="B196" i="13"/>
  <c r="C195" i="13"/>
  <c r="B195" i="13"/>
  <c r="C194" i="13"/>
  <c r="B194" i="13"/>
  <c r="C193" i="13"/>
  <c r="B193" i="13"/>
  <c r="C192" i="13"/>
  <c r="B192" i="13"/>
  <c r="C191" i="13"/>
  <c r="B191" i="13"/>
  <c r="C190" i="13"/>
  <c r="B190" i="13"/>
  <c r="C189" i="13"/>
  <c r="B189" i="13"/>
  <c r="C188" i="13"/>
  <c r="B188" i="13"/>
  <c r="C187" i="13"/>
  <c r="B187" i="13"/>
  <c r="C186" i="13"/>
  <c r="B186" i="13"/>
  <c r="C185" i="13"/>
  <c r="B185" i="13"/>
  <c r="C184" i="13"/>
  <c r="B184" i="13"/>
  <c r="C183" i="13"/>
  <c r="B183" i="13"/>
  <c r="C182" i="13"/>
  <c r="B182" i="13"/>
  <c r="C181" i="13"/>
  <c r="B181" i="13"/>
  <c r="C180" i="13"/>
  <c r="B180" i="13"/>
  <c r="C179" i="13"/>
  <c r="B179" i="13"/>
  <c r="C178" i="13"/>
  <c r="B178" i="13"/>
  <c r="C177" i="13"/>
  <c r="B177" i="13"/>
  <c r="C176" i="13"/>
  <c r="B176" i="13"/>
  <c r="C175" i="13"/>
  <c r="B175" i="13"/>
  <c r="C174" i="13"/>
  <c r="B174" i="13"/>
  <c r="C173" i="13"/>
  <c r="B173" i="13"/>
  <c r="C172" i="13"/>
  <c r="B172" i="13"/>
  <c r="C171" i="13"/>
  <c r="B171" i="13"/>
  <c r="C170" i="13"/>
  <c r="B170" i="13"/>
  <c r="C169" i="13"/>
  <c r="B169" i="13"/>
  <c r="C168" i="13"/>
  <c r="B168" i="13"/>
  <c r="C167" i="13"/>
  <c r="B167" i="13"/>
  <c r="C166" i="13"/>
  <c r="B166" i="13"/>
  <c r="C165" i="13"/>
  <c r="B165" i="13"/>
  <c r="C164" i="13"/>
  <c r="B164" i="13"/>
  <c r="C163" i="13"/>
  <c r="B163" i="13"/>
  <c r="C162" i="13"/>
  <c r="B162" i="13"/>
  <c r="C161" i="13"/>
  <c r="B161" i="13"/>
  <c r="C160" i="13"/>
  <c r="B160" i="13"/>
  <c r="C159" i="13"/>
  <c r="B159" i="13"/>
  <c r="C158" i="13"/>
  <c r="B158" i="13"/>
  <c r="C157" i="13"/>
  <c r="B157" i="13"/>
  <c r="C156" i="13"/>
  <c r="B156" i="13"/>
  <c r="C155" i="13"/>
  <c r="B155" i="13"/>
  <c r="C154" i="13"/>
  <c r="B154" i="13"/>
  <c r="C153" i="13"/>
  <c r="B153" i="13"/>
  <c r="C152" i="13"/>
  <c r="B152" i="13"/>
  <c r="C151" i="13"/>
  <c r="B151" i="13"/>
  <c r="C150" i="13"/>
  <c r="B150" i="13"/>
  <c r="C149" i="13"/>
  <c r="B149" i="13"/>
  <c r="C148" i="13"/>
  <c r="B148" i="13"/>
  <c r="C147" i="13"/>
  <c r="B147" i="13"/>
  <c r="C146" i="13"/>
  <c r="B146" i="13"/>
  <c r="C145" i="13"/>
  <c r="B145" i="13"/>
  <c r="C144" i="13"/>
  <c r="B144" i="13"/>
  <c r="C143" i="13"/>
  <c r="B143" i="13"/>
  <c r="C142" i="13"/>
  <c r="B142" i="13"/>
  <c r="C141" i="13"/>
  <c r="B141" i="13"/>
  <c r="C140" i="13"/>
  <c r="B140" i="13"/>
  <c r="C139" i="13"/>
  <c r="B139" i="13"/>
  <c r="C138" i="13"/>
  <c r="B138" i="13"/>
  <c r="C137" i="13"/>
  <c r="B137" i="13"/>
  <c r="C136" i="13"/>
  <c r="B136" i="13"/>
  <c r="C135" i="13"/>
  <c r="B135" i="13"/>
  <c r="C134" i="13"/>
  <c r="B134" i="13"/>
  <c r="C133" i="13"/>
  <c r="B133" i="13"/>
  <c r="C132" i="13"/>
  <c r="B132" i="13"/>
  <c r="C131" i="13"/>
  <c r="B131" i="13"/>
  <c r="C130" i="13"/>
  <c r="B130" i="13"/>
  <c r="C129" i="13"/>
  <c r="B129" i="13"/>
  <c r="C128" i="13"/>
  <c r="B128" i="13"/>
  <c r="C127" i="13"/>
  <c r="B127" i="13"/>
  <c r="C126" i="13"/>
  <c r="B126" i="13"/>
  <c r="C125" i="13"/>
  <c r="B125" i="13"/>
  <c r="C124" i="13"/>
  <c r="B124" i="13"/>
  <c r="C123" i="13"/>
  <c r="B123" i="13"/>
  <c r="C122" i="13"/>
  <c r="B122" i="13"/>
  <c r="C121" i="13"/>
  <c r="B121" i="13"/>
  <c r="C120" i="13"/>
  <c r="B120" i="13"/>
  <c r="C119" i="13"/>
  <c r="B119" i="13"/>
  <c r="C118" i="13"/>
  <c r="B118" i="13"/>
  <c r="C117" i="13"/>
  <c r="B117" i="13"/>
  <c r="C116" i="13"/>
  <c r="B116" i="13"/>
  <c r="C115" i="13"/>
  <c r="B115" i="13"/>
  <c r="C114" i="13"/>
  <c r="B114" i="13"/>
  <c r="C113" i="13"/>
  <c r="B113" i="13"/>
  <c r="C112" i="13"/>
  <c r="B112" i="13"/>
  <c r="C111" i="13"/>
  <c r="B111" i="13"/>
  <c r="C110" i="13"/>
  <c r="B110" i="13"/>
  <c r="C109" i="13"/>
  <c r="B109" i="13"/>
  <c r="C108" i="13"/>
  <c r="B108" i="13"/>
  <c r="C107" i="13"/>
  <c r="B107" i="13"/>
  <c r="C106" i="13"/>
  <c r="B106" i="13"/>
  <c r="C105" i="13"/>
  <c r="B105" i="13"/>
  <c r="C104" i="13"/>
  <c r="B104" i="13"/>
  <c r="C103" i="13"/>
  <c r="B103" i="13"/>
  <c r="C102" i="13"/>
  <c r="B102" i="13"/>
  <c r="C101" i="13"/>
  <c r="B101" i="13"/>
  <c r="C100" i="13"/>
  <c r="B100" i="13"/>
  <c r="C99" i="13"/>
  <c r="B99" i="13"/>
  <c r="C98" i="13"/>
  <c r="B98" i="13"/>
  <c r="C97" i="13"/>
  <c r="B97" i="13"/>
  <c r="C96" i="13"/>
  <c r="B96" i="13"/>
  <c r="C95" i="13"/>
  <c r="B95" i="13"/>
  <c r="C94" i="13"/>
  <c r="B94" i="13"/>
  <c r="C93" i="13"/>
  <c r="B93" i="13"/>
  <c r="C92" i="13"/>
  <c r="B92" i="13"/>
  <c r="C91" i="13"/>
  <c r="B91" i="13"/>
  <c r="C90" i="13"/>
  <c r="B90" i="13"/>
  <c r="C89" i="13"/>
  <c r="B89" i="13"/>
  <c r="C88" i="13"/>
  <c r="B88" i="13"/>
  <c r="C87" i="13"/>
  <c r="B87" i="13"/>
  <c r="C86" i="13"/>
  <c r="B86" i="13"/>
  <c r="C85" i="13"/>
  <c r="B85" i="13"/>
  <c r="C84" i="13"/>
  <c r="B84" i="13"/>
  <c r="C83" i="13"/>
  <c r="B83" i="13"/>
  <c r="C82" i="13"/>
  <c r="B82" i="13"/>
  <c r="C81" i="13"/>
  <c r="B81" i="13"/>
  <c r="C80" i="13"/>
  <c r="B80" i="13"/>
  <c r="C79" i="13"/>
  <c r="B79" i="13"/>
  <c r="C78" i="13"/>
  <c r="B78" i="13"/>
  <c r="C77" i="13"/>
  <c r="B77" i="13"/>
  <c r="C76" i="13"/>
  <c r="B76" i="13"/>
  <c r="C75" i="13"/>
  <c r="B75" i="13"/>
  <c r="C74" i="13"/>
  <c r="B74" i="13"/>
  <c r="C73" i="13"/>
  <c r="B73" i="13"/>
  <c r="C72" i="13"/>
  <c r="B72" i="13"/>
  <c r="C71" i="13"/>
  <c r="B71" i="13"/>
  <c r="C70" i="13"/>
  <c r="B70" i="13"/>
  <c r="C69" i="13"/>
  <c r="B69" i="13"/>
  <c r="C68" i="13"/>
  <c r="B68" i="13"/>
  <c r="C67" i="13"/>
  <c r="B67" i="13"/>
  <c r="C66" i="13"/>
  <c r="B66" i="13"/>
  <c r="C65" i="13"/>
  <c r="B65" i="13"/>
  <c r="C64" i="13"/>
  <c r="B64" i="13"/>
  <c r="C63" i="13"/>
  <c r="B63" i="13"/>
  <c r="C62" i="13"/>
  <c r="B62" i="13"/>
  <c r="C61" i="13"/>
  <c r="B61" i="13"/>
  <c r="C60" i="13"/>
  <c r="B60" i="13"/>
  <c r="C59" i="13"/>
  <c r="B59" i="13"/>
  <c r="C58" i="13"/>
  <c r="B58" i="13"/>
  <c r="C57" i="13"/>
  <c r="B57" i="13"/>
  <c r="C56" i="13"/>
  <c r="B56" i="13"/>
  <c r="C55" i="13"/>
  <c r="B55" i="13"/>
  <c r="C54" i="13"/>
  <c r="B54" i="13"/>
  <c r="C53" i="13"/>
  <c r="B53" i="13"/>
  <c r="C52" i="13"/>
  <c r="B52" i="13"/>
  <c r="C51" i="13"/>
  <c r="B51" i="13"/>
  <c r="C50" i="13"/>
  <c r="B50" i="13"/>
  <c r="C49" i="13"/>
  <c r="B49" i="13"/>
  <c r="C48" i="13"/>
  <c r="B48" i="13"/>
  <c r="C47" i="13"/>
  <c r="B47" i="13"/>
  <c r="C46" i="13"/>
  <c r="B46" i="13"/>
  <c r="C45" i="13"/>
  <c r="B45" i="13"/>
  <c r="A514" i="10"/>
  <c r="A513" i="10"/>
  <c r="A512" i="10"/>
  <c r="A511" i="10"/>
  <c r="A510" i="10"/>
  <c r="A509" i="10"/>
  <c r="A508" i="10"/>
  <c r="A507" i="10"/>
  <c r="A506" i="10"/>
  <c r="A505" i="10"/>
  <c r="A504" i="10"/>
  <c r="A503" i="10"/>
  <c r="A502" i="10"/>
  <c r="A501" i="10"/>
  <c r="A500" i="10"/>
  <c r="A499" i="10"/>
  <c r="A498" i="10"/>
  <c r="A497" i="10"/>
  <c r="A496" i="10"/>
  <c r="A495" i="10"/>
  <c r="A494" i="10"/>
  <c r="A493" i="10"/>
  <c r="A492" i="10"/>
  <c r="A491" i="10"/>
  <c r="A490" i="10"/>
  <c r="A489" i="10"/>
  <c r="A488" i="10"/>
  <c r="A487" i="10"/>
  <c r="A486" i="10"/>
  <c r="A485" i="10"/>
  <c r="A484" i="10"/>
  <c r="A483" i="10"/>
  <c r="A482" i="10"/>
  <c r="A481" i="10"/>
  <c r="A480" i="10"/>
  <c r="A479" i="10"/>
  <c r="A478" i="10"/>
  <c r="A477" i="10"/>
  <c r="A476" i="10"/>
  <c r="A475" i="10"/>
  <c r="A474" i="10"/>
  <c r="A473" i="10"/>
  <c r="A472" i="10"/>
  <c r="A471" i="10"/>
  <c r="A470" i="10"/>
  <c r="A469" i="10"/>
  <c r="A468" i="10"/>
  <c r="A467" i="10"/>
  <c r="A466" i="10"/>
  <c r="A465" i="10"/>
  <c r="A464" i="10"/>
  <c r="A463" i="10"/>
  <c r="A462" i="10"/>
  <c r="A461" i="10"/>
  <c r="A460" i="10"/>
  <c r="A459" i="10"/>
  <c r="A458" i="10"/>
  <c r="A457" i="10"/>
  <c r="A456" i="10"/>
  <c r="A455" i="10"/>
  <c r="A454" i="10"/>
  <c r="A453" i="10"/>
  <c r="A452" i="10"/>
  <c r="A451" i="10"/>
  <c r="A450" i="10"/>
  <c r="A449" i="10"/>
  <c r="A448" i="10"/>
  <c r="A447" i="10"/>
  <c r="A446" i="10"/>
  <c r="A445" i="10"/>
  <c r="A444" i="10"/>
  <c r="A443" i="10"/>
  <c r="A442" i="10"/>
  <c r="A441" i="10"/>
  <c r="A440" i="10"/>
  <c r="A439" i="10"/>
  <c r="A438" i="10"/>
  <c r="A437" i="10"/>
  <c r="A436" i="10"/>
  <c r="A435" i="10"/>
  <c r="A434" i="10"/>
  <c r="A433" i="10"/>
  <c r="A432" i="10"/>
  <c r="A431" i="10"/>
  <c r="A430" i="10"/>
  <c r="A429" i="10"/>
  <c r="A428" i="10"/>
  <c r="A427" i="10"/>
  <c r="A426" i="10"/>
  <c r="A425" i="10"/>
  <c r="A424" i="10"/>
  <c r="A423" i="10"/>
  <c r="A422" i="10"/>
  <c r="A421" i="10"/>
  <c r="A420" i="10"/>
  <c r="A419" i="10"/>
  <c r="A418" i="10"/>
  <c r="A417" i="10"/>
  <c r="A416" i="10"/>
  <c r="A415" i="10"/>
  <c r="A414" i="10"/>
  <c r="A413" i="10"/>
  <c r="A412" i="10"/>
  <c r="A411" i="10"/>
  <c r="A410" i="10"/>
  <c r="A409" i="10"/>
  <c r="A408" i="10"/>
  <c r="A407" i="10"/>
  <c r="A406" i="10"/>
  <c r="A405" i="10"/>
  <c r="A404" i="10"/>
  <c r="A403" i="10"/>
  <c r="A402" i="10"/>
  <c r="A401" i="10"/>
  <c r="A400" i="10"/>
  <c r="A399" i="10"/>
  <c r="A398" i="10"/>
  <c r="A397" i="10"/>
  <c r="A396" i="10"/>
  <c r="A395" i="10"/>
  <c r="A394" i="10"/>
  <c r="A393" i="10"/>
  <c r="A392" i="10"/>
  <c r="A391" i="10"/>
  <c r="A390" i="10"/>
  <c r="A389" i="10"/>
  <c r="A388" i="10"/>
  <c r="A387" i="10"/>
  <c r="A386" i="10"/>
  <c r="A385" i="10"/>
  <c r="A384" i="10"/>
  <c r="A383" i="10"/>
  <c r="A382" i="10"/>
  <c r="A381" i="10"/>
  <c r="A380" i="10"/>
  <c r="A379" i="10"/>
  <c r="A378" i="10"/>
  <c r="A377" i="10"/>
  <c r="A376" i="10"/>
  <c r="A375" i="10"/>
  <c r="A374" i="10"/>
  <c r="A373" i="10"/>
  <c r="A372" i="10"/>
  <c r="A371" i="10"/>
  <c r="A370" i="10"/>
  <c r="A369" i="10"/>
  <c r="A368" i="10"/>
  <c r="A367" i="10"/>
  <c r="A366" i="10"/>
  <c r="A365" i="10"/>
  <c r="A364" i="10"/>
  <c r="A363" i="10"/>
  <c r="A362" i="10"/>
  <c r="A361" i="10"/>
  <c r="A360" i="10"/>
  <c r="A359" i="10"/>
  <c r="A358" i="10"/>
  <c r="A357" i="10"/>
  <c r="A356" i="10"/>
  <c r="A355" i="10"/>
  <c r="A354" i="10"/>
  <c r="A353" i="10"/>
  <c r="A352" i="10"/>
  <c r="A351" i="10"/>
  <c r="A350" i="10"/>
  <c r="A349" i="10"/>
  <c r="A348" i="10"/>
  <c r="A347" i="10"/>
  <c r="A346"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A301" i="10"/>
  <c r="A300" i="10"/>
  <c r="A299" i="10"/>
  <c r="A298" i="10"/>
  <c r="A297" i="10"/>
  <c r="A296" i="10"/>
  <c r="A295" i="10"/>
  <c r="A294" i="10"/>
  <c r="A293" i="10"/>
  <c r="A292" i="10"/>
  <c r="A291" i="10"/>
  <c r="A290" i="10"/>
  <c r="A289" i="10"/>
  <c r="A288" i="10"/>
  <c r="A287" i="10"/>
  <c r="A286" i="10"/>
  <c r="A285" i="10"/>
  <c r="A284" i="10"/>
  <c r="A283"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2" i="10"/>
  <c r="A241" i="10"/>
  <c r="A240" i="10"/>
  <c r="A239" i="10"/>
  <c r="A238" i="10"/>
  <c r="A237" i="10"/>
  <c r="A236" i="10"/>
  <c r="A235" i="10"/>
  <c r="A234" i="10"/>
  <c r="A233" i="10"/>
  <c r="A232" i="10"/>
  <c r="A231" i="10"/>
  <c r="A230" i="10"/>
  <c r="A229" i="10"/>
  <c r="A228" i="10"/>
  <c r="A227" i="10"/>
  <c r="A226" i="10"/>
  <c r="A225"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C514" i="12"/>
  <c r="B514" i="12"/>
  <c r="C513" i="12"/>
  <c r="B513" i="12"/>
  <c r="C512" i="12"/>
  <c r="B512" i="12"/>
  <c r="C511" i="12"/>
  <c r="B511" i="12"/>
  <c r="C510" i="12"/>
  <c r="B510" i="12"/>
  <c r="C509" i="12"/>
  <c r="B509" i="12"/>
  <c r="C508" i="12"/>
  <c r="B508" i="12"/>
  <c r="C507" i="12"/>
  <c r="B507" i="12"/>
  <c r="C506" i="12"/>
  <c r="B506" i="12"/>
  <c r="C505" i="12"/>
  <c r="B505" i="12"/>
  <c r="C504" i="12"/>
  <c r="B504" i="12"/>
  <c r="C503" i="12"/>
  <c r="B503" i="12"/>
  <c r="C502" i="12"/>
  <c r="B502" i="12"/>
  <c r="C501" i="12"/>
  <c r="B501" i="12"/>
  <c r="C500" i="12"/>
  <c r="B500" i="12"/>
  <c r="C499" i="12"/>
  <c r="B499" i="12"/>
  <c r="C498" i="12"/>
  <c r="B498" i="12"/>
  <c r="C497" i="12"/>
  <c r="B497" i="12"/>
  <c r="C496" i="12"/>
  <c r="B496" i="12"/>
  <c r="C495" i="12"/>
  <c r="B495" i="12"/>
  <c r="C494" i="12"/>
  <c r="B494" i="12"/>
  <c r="C493" i="12"/>
  <c r="B493" i="12"/>
  <c r="C492" i="12"/>
  <c r="B492" i="12"/>
  <c r="C491" i="12"/>
  <c r="B491" i="12"/>
  <c r="C490" i="12"/>
  <c r="B490" i="12"/>
  <c r="C489" i="12"/>
  <c r="B489" i="12"/>
  <c r="C488" i="12"/>
  <c r="B488" i="12"/>
  <c r="C487" i="12"/>
  <c r="B487" i="12"/>
  <c r="C486" i="12"/>
  <c r="B486" i="12"/>
  <c r="C485" i="12"/>
  <c r="B485" i="12"/>
  <c r="C484" i="12"/>
  <c r="B484" i="12"/>
  <c r="C483" i="12"/>
  <c r="B483" i="12"/>
  <c r="C482" i="12"/>
  <c r="B482" i="12"/>
  <c r="C481" i="12"/>
  <c r="B481" i="12"/>
  <c r="C480" i="12"/>
  <c r="B480" i="12"/>
  <c r="C479" i="12"/>
  <c r="B479" i="12"/>
  <c r="C478" i="12"/>
  <c r="B478" i="12"/>
  <c r="C477" i="12"/>
  <c r="B477" i="12"/>
  <c r="C476" i="12"/>
  <c r="B476" i="12"/>
  <c r="C475" i="12"/>
  <c r="B475" i="12"/>
  <c r="C474" i="12"/>
  <c r="B474" i="12"/>
  <c r="C473" i="12"/>
  <c r="B473" i="12"/>
  <c r="C472" i="12"/>
  <c r="B472" i="12"/>
  <c r="C471" i="12"/>
  <c r="B471" i="12"/>
  <c r="C470" i="12"/>
  <c r="B470" i="12"/>
  <c r="C469" i="12"/>
  <c r="B469" i="12"/>
  <c r="C468" i="12"/>
  <c r="B468" i="12"/>
  <c r="C467" i="12"/>
  <c r="B467" i="12"/>
  <c r="C466" i="12"/>
  <c r="B466" i="12"/>
  <c r="C465" i="12"/>
  <c r="B465" i="12"/>
  <c r="C464" i="12"/>
  <c r="B464" i="12"/>
  <c r="C463" i="12"/>
  <c r="B463" i="12"/>
  <c r="C462" i="12"/>
  <c r="B462" i="12"/>
  <c r="C461" i="12"/>
  <c r="B461" i="12"/>
  <c r="C460" i="12"/>
  <c r="B460" i="12"/>
  <c r="C459" i="12"/>
  <c r="B459" i="12"/>
  <c r="C458" i="12"/>
  <c r="B458" i="12"/>
  <c r="C457" i="12"/>
  <c r="B457" i="12"/>
  <c r="C456" i="12"/>
  <c r="B456" i="12"/>
  <c r="C455" i="12"/>
  <c r="B455" i="12"/>
  <c r="C454" i="12"/>
  <c r="B454" i="12"/>
  <c r="C453" i="12"/>
  <c r="B453" i="12"/>
  <c r="C452" i="12"/>
  <c r="B452" i="12"/>
  <c r="C451" i="12"/>
  <c r="B451" i="12"/>
  <c r="C450" i="12"/>
  <c r="B450" i="12"/>
  <c r="C449" i="12"/>
  <c r="B449" i="12"/>
  <c r="C448" i="12"/>
  <c r="B448" i="12"/>
  <c r="C447" i="12"/>
  <c r="B447" i="12"/>
  <c r="C446" i="12"/>
  <c r="B446" i="12"/>
  <c r="C445" i="12"/>
  <c r="B445" i="12"/>
  <c r="C444" i="12"/>
  <c r="B444" i="12"/>
  <c r="C443" i="12"/>
  <c r="B443" i="12"/>
  <c r="C442" i="12"/>
  <c r="B442" i="12"/>
  <c r="C441" i="12"/>
  <c r="B441" i="12"/>
  <c r="C440" i="12"/>
  <c r="B440" i="12"/>
  <c r="C439" i="12"/>
  <c r="B439" i="12"/>
  <c r="C438" i="12"/>
  <c r="B438" i="12"/>
  <c r="C437" i="12"/>
  <c r="B437" i="12"/>
  <c r="C436" i="12"/>
  <c r="B436" i="12"/>
  <c r="C435" i="12"/>
  <c r="B435" i="12"/>
  <c r="C434" i="12"/>
  <c r="B434" i="12"/>
  <c r="C433" i="12"/>
  <c r="B433" i="12"/>
  <c r="C432" i="12"/>
  <c r="B432" i="12"/>
  <c r="C431" i="12"/>
  <c r="B431" i="12"/>
  <c r="C430" i="12"/>
  <c r="B430" i="12"/>
  <c r="C429" i="12"/>
  <c r="B429" i="12"/>
  <c r="C428" i="12"/>
  <c r="B428" i="12"/>
  <c r="C427" i="12"/>
  <c r="B427" i="12"/>
  <c r="C426" i="12"/>
  <c r="B426" i="12"/>
  <c r="C425" i="12"/>
  <c r="B425" i="12"/>
  <c r="C424" i="12"/>
  <c r="B424" i="12"/>
  <c r="C423" i="12"/>
  <c r="B423" i="12"/>
  <c r="C422" i="12"/>
  <c r="B422" i="12"/>
  <c r="C421" i="12"/>
  <c r="B421" i="12"/>
  <c r="C420" i="12"/>
  <c r="B420" i="12"/>
  <c r="C419" i="12"/>
  <c r="B419" i="12"/>
  <c r="C418" i="12"/>
  <c r="B418" i="12"/>
  <c r="C417" i="12"/>
  <c r="B417" i="12"/>
  <c r="C416" i="12"/>
  <c r="B416" i="12"/>
  <c r="C415" i="12"/>
  <c r="B415" i="12"/>
  <c r="C414" i="12"/>
  <c r="B414" i="12"/>
  <c r="C413" i="12"/>
  <c r="B413" i="12"/>
  <c r="C412" i="12"/>
  <c r="B412" i="12"/>
  <c r="C411" i="12"/>
  <c r="B411" i="12"/>
  <c r="C410" i="12"/>
  <c r="B410" i="12"/>
  <c r="C409" i="12"/>
  <c r="B409" i="12"/>
  <c r="C408" i="12"/>
  <c r="B408" i="12"/>
  <c r="C407" i="12"/>
  <c r="B407" i="12"/>
  <c r="C406" i="12"/>
  <c r="B406" i="12"/>
  <c r="C405" i="12"/>
  <c r="B405" i="12"/>
  <c r="C404" i="12"/>
  <c r="B404" i="12"/>
  <c r="C403" i="12"/>
  <c r="B403" i="12"/>
  <c r="C402" i="12"/>
  <c r="B402" i="12"/>
  <c r="C401" i="12"/>
  <c r="B401" i="12"/>
  <c r="C400" i="12"/>
  <c r="B400" i="12"/>
  <c r="C399" i="12"/>
  <c r="B399" i="12"/>
  <c r="C398" i="12"/>
  <c r="B398" i="12"/>
  <c r="C397" i="12"/>
  <c r="B397" i="12"/>
  <c r="C396" i="12"/>
  <c r="B396" i="12"/>
  <c r="C395" i="12"/>
  <c r="B395" i="12"/>
  <c r="C394" i="12"/>
  <c r="B394" i="12"/>
  <c r="C393" i="12"/>
  <c r="B393" i="12"/>
  <c r="C392" i="12"/>
  <c r="B392" i="12"/>
  <c r="C391" i="12"/>
  <c r="B391" i="12"/>
  <c r="C390" i="12"/>
  <c r="B390" i="12"/>
  <c r="C389" i="12"/>
  <c r="B389" i="12"/>
  <c r="C388" i="12"/>
  <c r="B388" i="12"/>
  <c r="C387" i="12"/>
  <c r="B387" i="12"/>
  <c r="C386" i="12"/>
  <c r="B386" i="12"/>
  <c r="C385" i="12"/>
  <c r="B385" i="12"/>
  <c r="C384" i="12"/>
  <c r="B384" i="12"/>
  <c r="C383" i="12"/>
  <c r="B383" i="12"/>
  <c r="C382" i="12"/>
  <c r="B382" i="12"/>
  <c r="C381" i="12"/>
  <c r="B381" i="12"/>
  <c r="C380" i="12"/>
  <c r="B380" i="12"/>
  <c r="C379" i="12"/>
  <c r="B379" i="12"/>
  <c r="C378" i="12"/>
  <c r="B378" i="12"/>
  <c r="C377" i="12"/>
  <c r="B377" i="12"/>
  <c r="C376" i="12"/>
  <c r="B376" i="12"/>
  <c r="C375" i="12"/>
  <c r="B375" i="12"/>
  <c r="C374" i="12"/>
  <c r="B374" i="12"/>
  <c r="C373" i="12"/>
  <c r="B373" i="12"/>
  <c r="C372" i="12"/>
  <c r="B372" i="12"/>
  <c r="C371" i="12"/>
  <c r="B371" i="12"/>
  <c r="C370" i="12"/>
  <c r="B370" i="12"/>
  <c r="C369" i="12"/>
  <c r="B369" i="12"/>
  <c r="C368" i="12"/>
  <c r="B368" i="12"/>
  <c r="C367" i="12"/>
  <c r="B367" i="12"/>
  <c r="C366" i="12"/>
  <c r="B366" i="12"/>
  <c r="C365" i="12"/>
  <c r="B365" i="12"/>
  <c r="C364" i="12"/>
  <c r="B364" i="12"/>
  <c r="C363" i="12"/>
  <c r="B363" i="12"/>
  <c r="C362" i="12"/>
  <c r="B362" i="12"/>
  <c r="C361" i="12"/>
  <c r="B361" i="12"/>
  <c r="C360" i="12"/>
  <c r="B360" i="12"/>
  <c r="C359" i="12"/>
  <c r="B359" i="12"/>
  <c r="C358" i="12"/>
  <c r="B358" i="12"/>
  <c r="C357" i="12"/>
  <c r="B357" i="12"/>
  <c r="C356" i="12"/>
  <c r="B356" i="12"/>
  <c r="C355" i="12"/>
  <c r="B355" i="12"/>
  <c r="C354" i="12"/>
  <c r="B354" i="12"/>
  <c r="C353" i="12"/>
  <c r="B353" i="12"/>
  <c r="C352" i="12"/>
  <c r="B352" i="12"/>
  <c r="C351" i="12"/>
  <c r="B351" i="12"/>
  <c r="C350" i="12"/>
  <c r="B350" i="12"/>
  <c r="C349" i="12"/>
  <c r="B349" i="12"/>
  <c r="C348" i="12"/>
  <c r="B348" i="12"/>
  <c r="C347" i="12"/>
  <c r="B347" i="12"/>
  <c r="C346" i="12"/>
  <c r="B346" i="12"/>
  <c r="C345" i="12"/>
  <c r="B345" i="12"/>
  <c r="C344" i="12"/>
  <c r="B344" i="12"/>
  <c r="C343" i="12"/>
  <c r="B343" i="12"/>
  <c r="C342" i="12"/>
  <c r="B342" i="12"/>
  <c r="C341" i="12"/>
  <c r="B341" i="12"/>
  <c r="C340" i="12"/>
  <c r="B340" i="12"/>
  <c r="C339" i="12"/>
  <c r="B339" i="12"/>
  <c r="C338" i="12"/>
  <c r="B338" i="12"/>
  <c r="C337" i="12"/>
  <c r="B337" i="12"/>
  <c r="C336" i="12"/>
  <c r="B336" i="12"/>
  <c r="C335" i="12"/>
  <c r="B335" i="12"/>
  <c r="C334" i="12"/>
  <c r="B334" i="12"/>
  <c r="C333" i="12"/>
  <c r="B333" i="12"/>
  <c r="C332" i="12"/>
  <c r="B332" i="12"/>
  <c r="C331" i="12"/>
  <c r="B331" i="12"/>
  <c r="C330" i="12"/>
  <c r="B330" i="12"/>
  <c r="C329" i="12"/>
  <c r="B329" i="12"/>
  <c r="C328" i="12"/>
  <c r="B328" i="12"/>
  <c r="C327" i="12"/>
  <c r="B327" i="12"/>
  <c r="C326" i="12"/>
  <c r="B326" i="12"/>
  <c r="C325" i="12"/>
  <c r="B325" i="12"/>
  <c r="C324" i="12"/>
  <c r="B324" i="12"/>
  <c r="C323" i="12"/>
  <c r="B323" i="12"/>
  <c r="C322" i="12"/>
  <c r="B322" i="12"/>
  <c r="C321" i="12"/>
  <c r="B321" i="12"/>
  <c r="C320" i="12"/>
  <c r="B320" i="12"/>
  <c r="C319" i="12"/>
  <c r="B319" i="12"/>
  <c r="C318" i="12"/>
  <c r="B318" i="12"/>
  <c r="C317" i="12"/>
  <c r="B317" i="12"/>
  <c r="C316" i="12"/>
  <c r="B316" i="12"/>
  <c r="C315" i="12"/>
  <c r="B315" i="12"/>
  <c r="C314" i="12"/>
  <c r="B314" i="12"/>
  <c r="C313" i="12"/>
  <c r="B313" i="12"/>
  <c r="C312" i="12"/>
  <c r="B312" i="12"/>
  <c r="C311" i="12"/>
  <c r="B311" i="12"/>
  <c r="C310" i="12"/>
  <c r="B310" i="12"/>
  <c r="C309" i="12"/>
  <c r="B309" i="12"/>
  <c r="C308" i="12"/>
  <c r="B308" i="12"/>
  <c r="C307" i="12"/>
  <c r="B307" i="12"/>
  <c r="C306" i="12"/>
  <c r="B306" i="12"/>
  <c r="C305" i="12"/>
  <c r="B305" i="12"/>
  <c r="C304" i="12"/>
  <c r="B304" i="12"/>
  <c r="C303" i="12"/>
  <c r="B303" i="12"/>
  <c r="C302" i="12"/>
  <c r="B302" i="12"/>
  <c r="C301" i="12"/>
  <c r="B301" i="12"/>
  <c r="C300" i="12"/>
  <c r="B300" i="12"/>
  <c r="C299" i="12"/>
  <c r="B299" i="12"/>
  <c r="C298" i="12"/>
  <c r="B298" i="12"/>
  <c r="C297" i="12"/>
  <c r="B297" i="12"/>
  <c r="C296" i="12"/>
  <c r="B296" i="12"/>
  <c r="C295" i="12"/>
  <c r="B295" i="12"/>
  <c r="C294" i="12"/>
  <c r="B294" i="12"/>
  <c r="C293" i="12"/>
  <c r="B293" i="12"/>
  <c r="C292" i="12"/>
  <c r="B292" i="12"/>
  <c r="C291" i="12"/>
  <c r="B291" i="12"/>
  <c r="C290" i="12"/>
  <c r="B290" i="12"/>
  <c r="C289" i="12"/>
  <c r="B289" i="12"/>
  <c r="C288" i="12"/>
  <c r="B288" i="12"/>
  <c r="C287" i="12"/>
  <c r="B287" i="12"/>
  <c r="C286" i="12"/>
  <c r="B286" i="12"/>
  <c r="C285" i="12"/>
  <c r="B285" i="12"/>
  <c r="C284" i="12"/>
  <c r="B284" i="12"/>
  <c r="C283" i="12"/>
  <c r="B283" i="12"/>
  <c r="C282" i="12"/>
  <c r="B282" i="12"/>
  <c r="C281" i="12"/>
  <c r="B281" i="12"/>
  <c r="C280" i="12"/>
  <c r="B280" i="12"/>
  <c r="C279" i="12"/>
  <c r="B279" i="12"/>
  <c r="C278" i="12"/>
  <c r="B278" i="12"/>
  <c r="C277" i="12"/>
  <c r="B277" i="12"/>
  <c r="C276" i="12"/>
  <c r="B276" i="12"/>
  <c r="C275" i="12"/>
  <c r="B275" i="12"/>
  <c r="C274" i="12"/>
  <c r="B274" i="12"/>
  <c r="C273" i="12"/>
  <c r="B273" i="12"/>
  <c r="C272" i="12"/>
  <c r="B272" i="12"/>
  <c r="C271" i="12"/>
  <c r="B271" i="12"/>
  <c r="C270" i="12"/>
  <c r="B270" i="12"/>
  <c r="C269" i="12"/>
  <c r="B269" i="12"/>
  <c r="C268" i="12"/>
  <c r="B268" i="12"/>
  <c r="C267" i="12"/>
  <c r="B267" i="12"/>
  <c r="C266" i="12"/>
  <c r="B266" i="12"/>
  <c r="C265" i="12"/>
  <c r="B265" i="12"/>
  <c r="C264" i="12"/>
  <c r="B264" i="12"/>
  <c r="C263" i="12"/>
  <c r="B263" i="12"/>
  <c r="C262" i="12"/>
  <c r="B262" i="12"/>
  <c r="C261" i="12"/>
  <c r="B261" i="12"/>
  <c r="C260" i="12"/>
  <c r="B260" i="12"/>
  <c r="C259" i="12"/>
  <c r="B259" i="12"/>
  <c r="C258" i="12"/>
  <c r="B258" i="12"/>
  <c r="C257" i="12"/>
  <c r="B257" i="12"/>
  <c r="C256" i="12"/>
  <c r="B256" i="12"/>
  <c r="C255" i="12"/>
  <c r="B255" i="12"/>
  <c r="C254" i="12"/>
  <c r="B254" i="12"/>
  <c r="C253" i="12"/>
  <c r="B253" i="12"/>
  <c r="C252" i="12"/>
  <c r="B252" i="12"/>
  <c r="C251" i="12"/>
  <c r="B251" i="12"/>
  <c r="C250" i="12"/>
  <c r="B250" i="12"/>
  <c r="C249" i="12"/>
  <c r="B249" i="12"/>
  <c r="C248" i="12"/>
  <c r="B248" i="12"/>
  <c r="C247" i="12"/>
  <c r="B247" i="12"/>
  <c r="C246" i="12"/>
  <c r="B246" i="12"/>
  <c r="C245" i="12"/>
  <c r="B245" i="12"/>
  <c r="C244" i="12"/>
  <c r="B244" i="12"/>
  <c r="C243" i="12"/>
  <c r="B243" i="12"/>
  <c r="C242" i="12"/>
  <c r="B242" i="12"/>
  <c r="C241" i="12"/>
  <c r="B241" i="12"/>
  <c r="C240" i="12"/>
  <c r="B240" i="12"/>
  <c r="C239" i="12"/>
  <c r="B239" i="12"/>
  <c r="C238" i="12"/>
  <c r="B238" i="12"/>
  <c r="C237" i="12"/>
  <c r="B237" i="12"/>
  <c r="C236" i="12"/>
  <c r="B236" i="12"/>
  <c r="C235" i="12"/>
  <c r="B235" i="12"/>
  <c r="C234" i="12"/>
  <c r="B234" i="12"/>
  <c r="C233" i="12"/>
  <c r="B233" i="12"/>
  <c r="C232" i="12"/>
  <c r="B232" i="12"/>
  <c r="C231" i="12"/>
  <c r="B231" i="12"/>
  <c r="C230" i="12"/>
  <c r="B230" i="12"/>
  <c r="C229" i="12"/>
  <c r="B229" i="12"/>
  <c r="C228" i="12"/>
  <c r="B228" i="12"/>
  <c r="C227" i="12"/>
  <c r="B227" i="12"/>
  <c r="C226" i="12"/>
  <c r="B226" i="12"/>
  <c r="C225" i="12"/>
  <c r="B225" i="12"/>
  <c r="C224" i="12"/>
  <c r="B224" i="12"/>
  <c r="C223" i="12"/>
  <c r="B223" i="12"/>
  <c r="C222" i="12"/>
  <c r="B222" i="12"/>
  <c r="C221" i="12"/>
  <c r="B221" i="12"/>
  <c r="C220" i="12"/>
  <c r="B220" i="12"/>
  <c r="C219" i="12"/>
  <c r="B219" i="12"/>
  <c r="C218" i="12"/>
  <c r="B218" i="12"/>
  <c r="C217" i="12"/>
  <c r="B217" i="12"/>
  <c r="C216" i="12"/>
  <c r="B216" i="12"/>
  <c r="C215" i="12"/>
  <c r="B215" i="12"/>
  <c r="C214" i="12"/>
  <c r="B214" i="12"/>
  <c r="C213" i="12"/>
  <c r="B213" i="12"/>
  <c r="C212" i="12"/>
  <c r="B212" i="12"/>
  <c r="C211" i="12"/>
  <c r="B211" i="12"/>
  <c r="C210" i="12"/>
  <c r="B210" i="12"/>
  <c r="C209" i="12"/>
  <c r="B209" i="12"/>
  <c r="C208" i="12"/>
  <c r="B208" i="12"/>
  <c r="C207" i="12"/>
  <c r="B207" i="12"/>
  <c r="C206" i="12"/>
  <c r="B206" i="12"/>
  <c r="C205" i="12"/>
  <c r="B205" i="12"/>
  <c r="C204" i="12"/>
  <c r="B204" i="12"/>
  <c r="C203" i="12"/>
  <c r="B203" i="12"/>
  <c r="C202" i="12"/>
  <c r="B202" i="12"/>
  <c r="C201" i="12"/>
  <c r="B201" i="12"/>
  <c r="C200" i="12"/>
  <c r="B200" i="12"/>
  <c r="C199" i="12"/>
  <c r="B199" i="12"/>
  <c r="C198" i="12"/>
  <c r="B198" i="12"/>
  <c r="C197" i="12"/>
  <c r="B197" i="12"/>
  <c r="C196" i="12"/>
  <c r="B196" i="12"/>
  <c r="C195" i="12"/>
  <c r="B195" i="12"/>
  <c r="C194" i="12"/>
  <c r="B194" i="12"/>
  <c r="C193" i="12"/>
  <c r="B193" i="12"/>
  <c r="C192" i="12"/>
  <c r="B192" i="12"/>
  <c r="C191" i="12"/>
  <c r="B191" i="12"/>
  <c r="C190" i="12"/>
  <c r="B190" i="12"/>
  <c r="C189" i="12"/>
  <c r="B189" i="12"/>
  <c r="C188" i="12"/>
  <c r="B188" i="12"/>
  <c r="C187" i="12"/>
  <c r="B187" i="12"/>
  <c r="C186" i="12"/>
  <c r="B186" i="12"/>
  <c r="C185" i="12"/>
  <c r="B185" i="12"/>
  <c r="C184" i="12"/>
  <c r="B184" i="12"/>
  <c r="C183" i="12"/>
  <c r="B183" i="12"/>
  <c r="C182" i="12"/>
  <c r="B182" i="12"/>
  <c r="C181" i="12"/>
  <c r="B181" i="12"/>
  <c r="C180" i="12"/>
  <c r="B180" i="12"/>
  <c r="C179" i="12"/>
  <c r="B179" i="12"/>
  <c r="C178" i="12"/>
  <c r="B178" i="12"/>
  <c r="C177" i="12"/>
  <c r="B177" i="12"/>
  <c r="C176" i="12"/>
  <c r="B176" i="12"/>
  <c r="C175" i="12"/>
  <c r="B175" i="12"/>
  <c r="C174" i="12"/>
  <c r="B174" i="12"/>
  <c r="C173" i="12"/>
  <c r="B173" i="12"/>
  <c r="C172" i="12"/>
  <c r="B172" i="12"/>
  <c r="C171" i="12"/>
  <c r="B171" i="12"/>
  <c r="C170" i="12"/>
  <c r="B170" i="12"/>
  <c r="C169" i="12"/>
  <c r="B169" i="12"/>
  <c r="C168" i="12"/>
  <c r="B168" i="12"/>
  <c r="C167" i="12"/>
  <c r="B167" i="12"/>
  <c r="C166" i="12"/>
  <c r="B166" i="12"/>
  <c r="C165" i="12"/>
  <c r="B165" i="12"/>
  <c r="C164" i="12"/>
  <c r="B164" i="12"/>
  <c r="C163" i="12"/>
  <c r="B163" i="12"/>
  <c r="C162" i="12"/>
  <c r="B162" i="12"/>
  <c r="C161" i="12"/>
  <c r="B161" i="12"/>
  <c r="C160" i="12"/>
  <c r="B160" i="12"/>
  <c r="C159" i="12"/>
  <c r="B159" i="12"/>
  <c r="C158" i="12"/>
  <c r="B158" i="12"/>
  <c r="C157" i="12"/>
  <c r="B157" i="12"/>
  <c r="C156" i="12"/>
  <c r="B156" i="12"/>
  <c r="C155" i="12"/>
  <c r="B155" i="12"/>
  <c r="C154" i="12"/>
  <c r="B154" i="12"/>
  <c r="C153" i="12"/>
  <c r="B153" i="12"/>
  <c r="C152" i="12"/>
  <c r="B152" i="12"/>
  <c r="C151" i="12"/>
  <c r="B151" i="12"/>
  <c r="C150" i="12"/>
  <c r="B150" i="12"/>
  <c r="C149" i="12"/>
  <c r="B149" i="12"/>
  <c r="C148" i="12"/>
  <c r="B148" i="12"/>
  <c r="C147" i="12"/>
  <c r="B147" i="12"/>
  <c r="C146" i="12"/>
  <c r="B146" i="12"/>
  <c r="C145" i="12"/>
  <c r="B145" i="12"/>
  <c r="C144" i="12"/>
  <c r="B144" i="12"/>
  <c r="C143" i="12"/>
  <c r="B143" i="12"/>
  <c r="C142" i="12"/>
  <c r="B142" i="12"/>
  <c r="C141" i="12"/>
  <c r="B141" i="12"/>
  <c r="C140" i="12"/>
  <c r="B140" i="12"/>
  <c r="C139" i="12"/>
  <c r="B139" i="12"/>
  <c r="C138" i="12"/>
  <c r="B138" i="12"/>
  <c r="C137" i="12"/>
  <c r="B137" i="12"/>
  <c r="C136" i="12"/>
  <c r="B136" i="12"/>
  <c r="C135" i="12"/>
  <c r="B135" i="12"/>
  <c r="C134" i="12"/>
  <c r="B134" i="12"/>
  <c r="C133" i="12"/>
  <c r="B133" i="12"/>
  <c r="C132" i="12"/>
  <c r="B132" i="12"/>
  <c r="C131" i="12"/>
  <c r="B131" i="12"/>
  <c r="C130" i="12"/>
  <c r="B130" i="12"/>
  <c r="C129" i="12"/>
  <c r="B129" i="12"/>
  <c r="C128" i="12"/>
  <c r="B128" i="12"/>
  <c r="C127" i="12"/>
  <c r="B127" i="12"/>
  <c r="C126" i="12"/>
  <c r="B126" i="12"/>
  <c r="C125" i="12"/>
  <c r="B125" i="12"/>
  <c r="C124" i="12"/>
  <c r="B124" i="12"/>
  <c r="C123" i="12"/>
  <c r="B123" i="12"/>
  <c r="C122" i="12"/>
  <c r="B122" i="12"/>
  <c r="C121" i="12"/>
  <c r="B121" i="12"/>
  <c r="C120" i="12"/>
  <c r="B120" i="12"/>
  <c r="C119" i="12"/>
  <c r="B119" i="12"/>
  <c r="C118" i="12"/>
  <c r="B118" i="12"/>
  <c r="C117" i="12"/>
  <c r="B117" i="12"/>
  <c r="C116" i="12"/>
  <c r="B116" i="12"/>
  <c r="C115" i="12"/>
  <c r="B115" i="12"/>
  <c r="C114" i="12"/>
  <c r="B114" i="12"/>
  <c r="C113" i="12"/>
  <c r="B113" i="12"/>
  <c r="C112" i="12"/>
  <c r="B112" i="12"/>
  <c r="C111" i="12"/>
  <c r="B111" i="12"/>
  <c r="C110" i="12"/>
  <c r="B110" i="12"/>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C97" i="12"/>
  <c r="B97" i="12"/>
  <c r="C96" i="12"/>
  <c r="B96" i="12"/>
  <c r="C95" i="12"/>
  <c r="B95" i="12"/>
  <c r="C94" i="12"/>
  <c r="B94" i="12"/>
  <c r="C93" i="12"/>
  <c r="B93" i="12"/>
  <c r="C92" i="12"/>
  <c r="B92" i="12"/>
  <c r="C91" i="12"/>
  <c r="B91" i="12"/>
  <c r="C90" i="12"/>
  <c r="B90" i="12"/>
  <c r="C89" i="12"/>
  <c r="B89" i="12"/>
  <c r="C88" i="12"/>
  <c r="B88" i="12"/>
  <c r="C87" i="12"/>
  <c r="B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C59" i="12"/>
  <c r="B59" i="12"/>
  <c r="C58" i="12"/>
  <c r="B58" i="12"/>
  <c r="C57" i="12"/>
  <c r="B57" i="12"/>
  <c r="C56" i="12"/>
  <c r="B56" i="12"/>
  <c r="C55" i="12"/>
  <c r="B55" i="12"/>
  <c r="C54" i="12"/>
  <c r="B54" i="12"/>
  <c r="C53" i="12"/>
  <c r="B53" i="12"/>
  <c r="C52" i="12"/>
  <c r="B52" i="12"/>
  <c r="C51" i="12"/>
  <c r="B51" i="12"/>
  <c r="C50" i="12"/>
  <c r="B50" i="12"/>
  <c r="C49" i="12"/>
  <c r="B49" i="12"/>
  <c r="C48" i="12"/>
  <c r="B48" i="12"/>
  <c r="C47" i="12"/>
  <c r="B47" i="12"/>
  <c r="C46" i="12"/>
  <c r="B46" i="12"/>
  <c r="C45" i="12"/>
  <c r="B45" i="12"/>
  <c r="C514" i="11"/>
  <c r="B514" i="11"/>
  <c r="C513" i="11"/>
  <c r="B513" i="11"/>
  <c r="C512" i="11"/>
  <c r="B512" i="11"/>
  <c r="C511" i="11"/>
  <c r="B511" i="11"/>
  <c r="C510" i="11"/>
  <c r="B510" i="11"/>
  <c r="C509" i="11"/>
  <c r="B509" i="11"/>
  <c r="C508" i="11"/>
  <c r="B508" i="11"/>
  <c r="C507" i="11"/>
  <c r="B507" i="11"/>
  <c r="C506" i="11"/>
  <c r="B506" i="11"/>
  <c r="C505" i="11"/>
  <c r="B505" i="11"/>
  <c r="C504" i="11"/>
  <c r="B504" i="11"/>
  <c r="C503" i="11"/>
  <c r="B503" i="11"/>
  <c r="C502" i="11"/>
  <c r="B502" i="11"/>
  <c r="C501" i="11"/>
  <c r="B501" i="11"/>
  <c r="C500" i="11"/>
  <c r="B500" i="11"/>
  <c r="C499" i="11"/>
  <c r="B499" i="11"/>
  <c r="C498" i="11"/>
  <c r="B498" i="11"/>
  <c r="C497" i="11"/>
  <c r="B497" i="11"/>
  <c r="C496" i="11"/>
  <c r="B496" i="11"/>
  <c r="C495" i="11"/>
  <c r="B495" i="11"/>
  <c r="C494" i="11"/>
  <c r="B494" i="11"/>
  <c r="C493" i="11"/>
  <c r="B493" i="11"/>
  <c r="C492" i="11"/>
  <c r="B492" i="11"/>
  <c r="C491" i="11"/>
  <c r="B491" i="11"/>
  <c r="C490" i="11"/>
  <c r="B490" i="11"/>
  <c r="C489" i="11"/>
  <c r="B489" i="11"/>
  <c r="C488" i="11"/>
  <c r="B488" i="11"/>
  <c r="C487" i="11"/>
  <c r="B487" i="11"/>
  <c r="C486" i="11"/>
  <c r="B486" i="11"/>
  <c r="C485" i="11"/>
  <c r="B485" i="11"/>
  <c r="C484" i="11"/>
  <c r="B484" i="11"/>
  <c r="C483" i="11"/>
  <c r="B483" i="11"/>
  <c r="C482" i="11"/>
  <c r="B482" i="11"/>
  <c r="C481" i="11"/>
  <c r="B481" i="11"/>
  <c r="C480" i="11"/>
  <c r="B480" i="11"/>
  <c r="C479" i="11"/>
  <c r="B479" i="11"/>
  <c r="C478" i="11"/>
  <c r="B478" i="11"/>
  <c r="C477" i="11"/>
  <c r="B477" i="11"/>
  <c r="C476" i="11"/>
  <c r="B476" i="11"/>
  <c r="C475" i="11"/>
  <c r="B475" i="11"/>
  <c r="C474" i="11"/>
  <c r="B474" i="11"/>
  <c r="C473" i="11"/>
  <c r="B473" i="11"/>
  <c r="C472" i="11"/>
  <c r="B472" i="11"/>
  <c r="C471" i="11"/>
  <c r="B471" i="11"/>
  <c r="C470" i="11"/>
  <c r="B470" i="11"/>
  <c r="C469" i="11"/>
  <c r="B469" i="11"/>
  <c r="C468" i="11"/>
  <c r="B468" i="11"/>
  <c r="C467" i="11"/>
  <c r="B467" i="11"/>
  <c r="C466" i="11"/>
  <c r="B466" i="11"/>
  <c r="C465" i="11"/>
  <c r="B465" i="11"/>
  <c r="C464" i="11"/>
  <c r="B464" i="11"/>
  <c r="C463" i="11"/>
  <c r="B463" i="11"/>
  <c r="C462" i="11"/>
  <c r="B462" i="11"/>
  <c r="C461" i="11"/>
  <c r="B461" i="11"/>
  <c r="C460" i="11"/>
  <c r="B460" i="11"/>
  <c r="C459" i="11"/>
  <c r="B459" i="11"/>
  <c r="C458" i="11"/>
  <c r="B458" i="11"/>
  <c r="C457" i="11"/>
  <c r="B457" i="11"/>
  <c r="C456" i="11"/>
  <c r="B456" i="11"/>
  <c r="C455" i="11"/>
  <c r="B455" i="11"/>
  <c r="C454" i="11"/>
  <c r="B454" i="11"/>
  <c r="C453" i="11"/>
  <c r="B453" i="11"/>
  <c r="C452" i="11"/>
  <c r="B452" i="11"/>
  <c r="C451" i="11"/>
  <c r="B451" i="11"/>
  <c r="C450" i="11"/>
  <c r="B450" i="11"/>
  <c r="C449" i="11"/>
  <c r="B449" i="11"/>
  <c r="C448" i="11"/>
  <c r="B448" i="11"/>
  <c r="C447" i="11"/>
  <c r="B447" i="11"/>
  <c r="C446" i="11"/>
  <c r="B446" i="11"/>
  <c r="C445" i="11"/>
  <c r="B445" i="11"/>
  <c r="C444" i="11"/>
  <c r="B444" i="11"/>
  <c r="C443" i="11"/>
  <c r="B443" i="11"/>
  <c r="C442" i="11"/>
  <c r="B442" i="11"/>
  <c r="C441" i="11"/>
  <c r="B441" i="11"/>
  <c r="C440" i="11"/>
  <c r="B440" i="11"/>
  <c r="C439" i="11"/>
  <c r="B439" i="11"/>
  <c r="C438" i="11"/>
  <c r="B438" i="11"/>
  <c r="C437" i="11"/>
  <c r="B437" i="11"/>
  <c r="C436" i="11"/>
  <c r="B436" i="11"/>
  <c r="C435" i="11"/>
  <c r="B435" i="11"/>
  <c r="C434" i="11"/>
  <c r="B434" i="11"/>
  <c r="C433" i="11"/>
  <c r="B433" i="11"/>
  <c r="C432" i="11"/>
  <c r="B432" i="11"/>
  <c r="C431" i="11"/>
  <c r="B431" i="11"/>
  <c r="C430" i="11"/>
  <c r="B430" i="11"/>
  <c r="C429" i="11"/>
  <c r="B429" i="11"/>
  <c r="C428" i="11"/>
  <c r="B428" i="11"/>
  <c r="C427" i="11"/>
  <c r="B427" i="11"/>
  <c r="C426" i="11"/>
  <c r="B426" i="11"/>
  <c r="C425" i="11"/>
  <c r="B425" i="11"/>
  <c r="C424" i="11"/>
  <c r="B424" i="11"/>
  <c r="C423" i="11"/>
  <c r="B423" i="11"/>
  <c r="C422" i="11"/>
  <c r="B422" i="11"/>
  <c r="C421" i="11"/>
  <c r="B421" i="11"/>
  <c r="C420" i="11"/>
  <c r="B420" i="11"/>
  <c r="C419" i="11"/>
  <c r="B419" i="11"/>
  <c r="C418" i="11"/>
  <c r="B418" i="11"/>
  <c r="C417" i="11"/>
  <c r="B417" i="11"/>
  <c r="C416" i="11"/>
  <c r="B416" i="11"/>
  <c r="C415" i="11"/>
  <c r="B415" i="11"/>
  <c r="C414" i="11"/>
  <c r="B414" i="11"/>
  <c r="C413" i="11"/>
  <c r="B413" i="11"/>
  <c r="C412" i="11"/>
  <c r="B412" i="11"/>
  <c r="C411" i="11"/>
  <c r="B411" i="11"/>
  <c r="C410" i="11"/>
  <c r="B410" i="11"/>
  <c r="C409" i="11"/>
  <c r="B409" i="11"/>
  <c r="C408" i="11"/>
  <c r="B408" i="11"/>
  <c r="C407" i="11"/>
  <c r="B407" i="11"/>
  <c r="C406" i="11"/>
  <c r="B406" i="11"/>
  <c r="C405" i="11"/>
  <c r="B405" i="11"/>
  <c r="C404" i="11"/>
  <c r="B404" i="11"/>
  <c r="C403" i="11"/>
  <c r="B403" i="11"/>
  <c r="C402" i="11"/>
  <c r="B402" i="11"/>
  <c r="C401" i="11"/>
  <c r="B401" i="11"/>
  <c r="C400" i="11"/>
  <c r="B400" i="11"/>
  <c r="C399" i="11"/>
  <c r="B399" i="11"/>
  <c r="C398" i="11"/>
  <c r="B398" i="11"/>
  <c r="C397" i="11"/>
  <c r="B397" i="11"/>
  <c r="C396" i="11"/>
  <c r="B396" i="11"/>
  <c r="C395" i="11"/>
  <c r="B395" i="11"/>
  <c r="C394" i="11"/>
  <c r="B394" i="11"/>
  <c r="C393" i="11"/>
  <c r="B393" i="11"/>
  <c r="C392" i="11"/>
  <c r="B392" i="11"/>
  <c r="C391" i="11"/>
  <c r="B391" i="11"/>
  <c r="C390" i="11"/>
  <c r="B390" i="11"/>
  <c r="C389" i="11"/>
  <c r="B389" i="11"/>
  <c r="C388" i="11"/>
  <c r="B388" i="11"/>
  <c r="C387" i="11"/>
  <c r="B387" i="11"/>
  <c r="C386" i="11"/>
  <c r="B386" i="11"/>
  <c r="C385" i="11"/>
  <c r="B385" i="11"/>
  <c r="C384" i="11"/>
  <c r="B384" i="11"/>
  <c r="C383" i="11"/>
  <c r="B383" i="11"/>
  <c r="C382" i="11"/>
  <c r="B382" i="11"/>
  <c r="C381" i="11"/>
  <c r="B381" i="11"/>
  <c r="C380" i="11"/>
  <c r="B380" i="11"/>
  <c r="C379" i="11"/>
  <c r="B379" i="11"/>
  <c r="C378" i="11"/>
  <c r="B378" i="11"/>
  <c r="C377" i="11"/>
  <c r="B377" i="11"/>
  <c r="C376" i="11"/>
  <c r="B376" i="11"/>
  <c r="C375" i="11"/>
  <c r="B375" i="11"/>
  <c r="C374" i="11"/>
  <c r="B374" i="11"/>
  <c r="C373" i="11"/>
  <c r="B373" i="11"/>
  <c r="C372" i="11"/>
  <c r="B372" i="11"/>
  <c r="C371" i="11"/>
  <c r="B371" i="11"/>
  <c r="C370" i="11"/>
  <c r="B370" i="11"/>
  <c r="C369" i="11"/>
  <c r="B369" i="11"/>
  <c r="C368" i="11"/>
  <c r="B368" i="11"/>
  <c r="C367" i="11"/>
  <c r="B367" i="11"/>
  <c r="C366" i="11"/>
  <c r="B366" i="11"/>
  <c r="C365" i="11"/>
  <c r="B365" i="11"/>
  <c r="C364" i="11"/>
  <c r="B364" i="11"/>
  <c r="C363" i="11"/>
  <c r="B363" i="11"/>
  <c r="C362" i="11"/>
  <c r="B362" i="11"/>
  <c r="C361" i="11"/>
  <c r="B361" i="11"/>
  <c r="C360" i="11"/>
  <c r="B360" i="11"/>
  <c r="C359" i="11"/>
  <c r="B359" i="11"/>
  <c r="C358" i="11"/>
  <c r="B358" i="11"/>
  <c r="C357" i="11"/>
  <c r="B357" i="11"/>
  <c r="C356" i="11"/>
  <c r="B356" i="11"/>
  <c r="C355" i="11"/>
  <c r="B355" i="11"/>
  <c r="C354" i="11"/>
  <c r="B354" i="11"/>
  <c r="C353" i="11"/>
  <c r="B353" i="11"/>
  <c r="C352" i="11"/>
  <c r="B352" i="11"/>
  <c r="C351" i="11"/>
  <c r="B351" i="11"/>
  <c r="C350" i="11"/>
  <c r="B350" i="11"/>
  <c r="C349" i="11"/>
  <c r="B349" i="11"/>
  <c r="C348" i="11"/>
  <c r="B348" i="11"/>
  <c r="C347" i="11"/>
  <c r="B347" i="11"/>
  <c r="C346" i="11"/>
  <c r="B346" i="11"/>
  <c r="C345" i="11"/>
  <c r="B345" i="11"/>
  <c r="C344" i="11"/>
  <c r="B344" i="11"/>
  <c r="C343" i="11"/>
  <c r="B343" i="11"/>
  <c r="C342" i="11"/>
  <c r="B342" i="11"/>
  <c r="C341" i="11"/>
  <c r="B341" i="11"/>
  <c r="C340" i="11"/>
  <c r="B340" i="11"/>
  <c r="C339" i="11"/>
  <c r="B339" i="11"/>
  <c r="C338" i="11"/>
  <c r="B338" i="11"/>
  <c r="C337" i="11"/>
  <c r="B337" i="11"/>
  <c r="C336" i="11"/>
  <c r="B336" i="11"/>
  <c r="C335" i="11"/>
  <c r="B335" i="11"/>
  <c r="C334" i="11"/>
  <c r="B334" i="11"/>
  <c r="C333" i="11"/>
  <c r="B333" i="11"/>
  <c r="C332" i="11"/>
  <c r="B332" i="11"/>
  <c r="C331" i="11"/>
  <c r="B331" i="11"/>
  <c r="C330" i="11"/>
  <c r="B330" i="11"/>
  <c r="C329" i="11"/>
  <c r="B329" i="11"/>
  <c r="C328" i="11"/>
  <c r="B328" i="11"/>
  <c r="C327" i="11"/>
  <c r="B327" i="11"/>
  <c r="C326" i="11"/>
  <c r="B326" i="11"/>
  <c r="C325" i="11"/>
  <c r="B325" i="11"/>
  <c r="C324" i="11"/>
  <c r="B324" i="11"/>
  <c r="C323" i="11"/>
  <c r="B323" i="11"/>
  <c r="C322" i="11"/>
  <c r="B322" i="11"/>
  <c r="C321" i="11"/>
  <c r="B321" i="11"/>
  <c r="C320" i="11"/>
  <c r="B320" i="11"/>
  <c r="C319" i="11"/>
  <c r="B319" i="11"/>
  <c r="C318" i="11"/>
  <c r="B318" i="11"/>
  <c r="C317" i="11"/>
  <c r="B317" i="11"/>
  <c r="C316" i="11"/>
  <c r="B316" i="11"/>
  <c r="C315" i="11"/>
  <c r="B315" i="11"/>
  <c r="C314" i="11"/>
  <c r="B314" i="11"/>
  <c r="C313" i="11"/>
  <c r="B313" i="11"/>
  <c r="C312" i="11"/>
  <c r="B312" i="11"/>
  <c r="C311" i="11"/>
  <c r="B311" i="11"/>
  <c r="C310" i="11"/>
  <c r="B310" i="11"/>
  <c r="C309" i="11"/>
  <c r="B309" i="11"/>
  <c r="C308" i="11"/>
  <c r="B308" i="11"/>
  <c r="C307" i="11"/>
  <c r="B307" i="11"/>
  <c r="C306" i="11"/>
  <c r="B306" i="11"/>
  <c r="C305" i="11"/>
  <c r="B305" i="11"/>
  <c r="C304" i="11"/>
  <c r="B304" i="11"/>
  <c r="C303" i="11"/>
  <c r="B303" i="11"/>
  <c r="C302" i="11"/>
  <c r="B302" i="11"/>
  <c r="C301" i="11"/>
  <c r="B301" i="11"/>
  <c r="C300" i="11"/>
  <c r="B300" i="11"/>
  <c r="C299" i="11"/>
  <c r="B299" i="11"/>
  <c r="C298" i="11"/>
  <c r="B298" i="11"/>
  <c r="C297" i="11"/>
  <c r="B297" i="11"/>
  <c r="C296" i="11"/>
  <c r="B296" i="11"/>
  <c r="C295" i="11"/>
  <c r="B295" i="11"/>
  <c r="C294" i="11"/>
  <c r="B294" i="11"/>
  <c r="C293" i="11"/>
  <c r="B293" i="11"/>
  <c r="C292" i="11"/>
  <c r="B292" i="11"/>
  <c r="C291" i="11"/>
  <c r="B291" i="11"/>
  <c r="C290" i="11"/>
  <c r="B290" i="11"/>
  <c r="C289" i="11"/>
  <c r="B289" i="11"/>
  <c r="C288" i="11"/>
  <c r="B288" i="11"/>
  <c r="C287" i="11"/>
  <c r="B287" i="11"/>
  <c r="C286" i="11"/>
  <c r="B286" i="11"/>
  <c r="C285" i="11"/>
  <c r="B285" i="11"/>
  <c r="C284" i="11"/>
  <c r="B284" i="11"/>
  <c r="C283" i="11"/>
  <c r="B283" i="11"/>
  <c r="C282" i="11"/>
  <c r="B282" i="11"/>
  <c r="C281" i="11"/>
  <c r="B281" i="11"/>
  <c r="C280" i="11"/>
  <c r="B280" i="11"/>
  <c r="C279" i="11"/>
  <c r="B279" i="11"/>
  <c r="C278" i="11"/>
  <c r="B278" i="11"/>
  <c r="C277" i="11"/>
  <c r="B277" i="11"/>
  <c r="C276" i="11"/>
  <c r="B276" i="11"/>
  <c r="C275" i="11"/>
  <c r="B275" i="11"/>
  <c r="C274" i="11"/>
  <c r="B274" i="11"/>
  <c r="C273" i="11"/>
  <c r="B273" i="11"/>
  <c r="C272" i="11"/>
  <c r="B272" i="11"/>
  <c r="C271" i="11"/>
  <c r="B271" i="11"/>
  <c r="C270" i="11"/>
  <c r="B270" i="11"/>
  <c r="C269" i="11"/>
  <c r="B269" i="11"/>
  <c r="C268" i="11"/>
  <c r="B268" i="11"/>
  <c r="C267" i="11"/>
  <c r="B267" i="11"/>
  <c r="C266" i="11"/>
  <c r="B266" i="11"/>
  <c r="C265" i="11"/>
  <c r="B265" i="11"/>
  <c r="C264" i="11"/>
  <c r="B264" i="11"/>
  <c r="C263" i="11"/>
  <c r="B263" i="11"/>
  <c r="C262" i="11"/>
  <c r="B262" i="11"/>
  <c r="C261" i="11"/>
  <c r="B261" i="11"/>
  <c r="C260" i="11"/>
  <c r="B260" i="11"/>
  <c r="C259" i="11"/>
  <c r="B259" i="11"/>
  <c r="C258" i="11"/>
  <c r="B258" i="11"/>
  <c r="C257" i="11"/>
  <c r="B257" i="11"/>
  <c r="C256" i="11"/>
  <c r="B256" i="11"/>
  <c r="C255" i="11"/>
  <c r="B255" i="11"/>
  <c r="C254" i="11"/>
  <c r="B254" i="11"/>
  <c r="C253" i="11"/>
  <c r="B253" i="11"/>
  <c r="C252" i="11"/>
  <c r="B252" i="11"/>
  <c r="C251" i="11"/>
  <c r="B251" i="11"/>
  <c r="C250" i="11"/>
  <c r="B250" i="11"/>
  <c r="C249" i="11"/>
  <c r="B249" i="11"/>
  <c r="C248" i="11"/>
  <c r="B248" i="11"/>
  <c r="C247" i="11"/>
  <c r="B247" i="11"/>
  <c r="C246" i="11"/>
  <c r="B246" i="11"/>
  <c r="C245" i="11"/>
  <c r="B245" i="11"/>
  <c r="C244" i="11"/>
  <c r="B244" i="11"/>
  <c r="C243" i="11"/>
  <c r="B243" i="11"/>
  <c r="C242" i="11"/>
  <c r="B242" i="11"/>
  <c r="C241" i="11"/>
  <c r="B241" i="11"/>
  <c r="C240" i="11"/>
  <c r="B240" i="11"/>
  <c r="C239" i="11"/>
  <c r="B239" i="11"/>
  <c r="C238" i="11"/>
  <c r="B238" i="11"/>
  <c r="C237" i="11"/>
  <c r="B237" i="11"/>
  <c r="C236" i="11"/>
  <c r="B236" i="11"/>
  <c r="C235" i="11"/>
  <c r="B235" i="11"/>
  <c r="C234" i="11"/>
  <c r="B234" i="11"/>
  <c r="C233" i="11"/>
  <c r="B233" i="11"/>
  <c r="C232" i="11"/>
  <c r="B232" i="11"/>
  <c r="C231" i="11"/>
  <c r="B231" i="11"/>
  <c r="C230" i="11"/>
  <c r="B230" i="11"/>
  <c r="C229" i="11"/>
  <c r="B229" i="11"/>
  <c r="C228" i="11"/>
  <c r="B228" i="11"/>
  <c r="C227" i="11"/>
  <c r="B227" i="11"/>
  <c r="C226" i="11"/>
  <c r="B226" i="11"/>
  <c r="C225" i="11"/>
  <c r="B225" i="11"/>
  <c r="C224" i="11"/>
  <c r="B224" i="11"/>
  <c r="C223" i="11"/>
  <c r="B223" i="11"/>
  <c r="C222" i="11"/>
  <c r="B222" i="11"/>
  <c r="C221" i="11"/>
  <c r="B221" i="11"/>
  <c r="C220" i="11"/>
  <c r="B220" i="11"/>
  <c r="C219" i="11"/>
  <c r="B219" i="11"/>
  <c r="C218" i="11"/>
  <c r="B218" i="11"/>
  <c r="C217" i="11"/>
  <c r="B217" i="11"/>
  <c r="C216" i="11"/>
  <c r="B216" i="11"/>
  <c r="C215" i="11"/>
  <c r="B215" i="11"/>
  <c r="C214" i="11"/>
  <c r="B214" i="11"/>
  <c r="C213" i="11"/>
  <c r="B213" i="11"/>
  <c r="C212" i="11"/>
  <c r="B212" i="11"/>
  <c r="C211" i="11"/>
  <c r="B211" i="11"/>
  <c r="C210" i="11"/>
  <c r="B210" i="11"/>
  <c r="C209" i="11"/>
  <c r="B209" i="11"/>
  <c r="C208" i="11"/>
  <c r="B208" i="11"/>
  <c r="C207" i="11"/>
  <c r="B207" i="11"/>
  <c r="C206" i="11"/>
  <c r="B206" i="11"/>
  <c r="C205" i="11"/>
  <c r="B205" i="11"/>
  <c r="C204" i="11"/>
  <c r="B204" i="11"/>
  <c r="C203" i="11"/>
  <c r="B203" i="11"/>
  <c r="C202" i="11"/>
  <c r="B202" i="11"/>
  <c r="C201" i="11"/>
  <c r="B201" i="11"/>
  <c r="C200" i="11"/>
  <c r="B200" i="11"/>
  <c r="C199" i="11"/>
  <c r="B199" i="11"/>
  <c r="C198" i="11"/>
  <c r="B198" i="11"/>
  <c r="C197" i="11"/>
  <c r="B197" i="11"/>
  <c r="C196" i="11"/>
  <c r="B196" i="11"/>
  <c r="C195" i="11"/>
  <c r="B195" i="11"/>
  <c r="C194" i="11"/>
  <c r="B194" i="11"/>
  <c r="C193" i="11"/>
  <c r="B193" i="11"/>
  <c r="C192" i="11"/>
  <c r="B192" i="11"/>
  <c r="C191" i="11"/>
  <c r="B191" i="11"/>
  <c r="C190" i="11"/>
  <c r="B190" i="11"/>
  <c r="C189" i="11"/>
  <c r="B189" i="11"/>
  <c r="C188" i="11"/>
  <c r="B188" i="11"/>
  <c r="C187" i="11"/>
  <c r="B187" i="11"/>
  <c r="C186" i="11"/>
  <c r="B186" i="11"/>
  <c r="C185" i="11"/>
  <c r="B185" i="11"/>
  <c r="C184" i="11"/>
  <c r="B184" i="11"/>
  <c r="C183" i="11"/>
  <c r="B183" i="11"/>
  <c r="C182" i="11"/>
  <c r="B182" i="11"/>
  <c r="C181" i="11"/>
  <c r="B181" i="11"/>
  <c r="C180" i="11"/>
  <c r="B180" i="11"/>
  <c r="C179" i="11"/>
  <c r="B179" i="11"/>
  <c r="C178" i="11"/>
  <c r="B178" i="11"/>
  <c r="C177" i="11"/>
  <c r="B177" i="11"/>
  <c r="C176" i="11"/>
  <c r="B176" i="11"/>
  <c r="C175" i="11"/>
  <c r="B175" i="11"/>
  <c r="C174" i="11"/>
  <c r="B174" i="11"/>
  <c r="C173" i="11"/>
  <c r="B173" i="11"/>
  <c r="C172" i="11"/>
  <c r="B172" i="11"/>
  <c r="C171" i="11"/>
  <c r="B171" i="11"/>
  <c r="C170" i="11"/>
  <c r="B170" i="11"/>
  <c r="C169" i="11"/>
  <c r="B169" i="11"/>
  <c r="C168" i="11"/>
  <c r="B168" i="11"/>
  <c r="C167" i="11"/>
  <c r="B167" i="11"/>
  <c r="C166" i="11"/>
  <c r="B166" i="11"/>
  <c r="C165" i="11"/>
  <c r="B165" i="11"/>
  <c r="C164" i="11"/>
  <c r="B164" i="11"/>
  <c r="C163" i="11"/>
  <c r="B163" i="11"/>
  <c r="C162" i="11"/>
  <c r="B162" i="11"/>
  <c r="C161" i="11"/>
  <c r="B161" i="11"/>
  <c r="C160" i="11"/>
  <c r="B160" i="11"/>
  <c r="C159" i="11"/>
  <c r="B159" i="11"/>
  <c r="C158" i="11"/>
  <c r="B158" i="11"/>
  <c r="C157" i="11"/>
  <c r="B157" i="11"/>
  <c r="C156" i="11"/>
  <c r="B156" i="11"/>
  <c r="C155" i="11"/>
  <c r="B155" i="11"/>
  <c r="C154" i="11"/>
  <c r="B154" i="11"/>
  <c r="C153" i="11"/>
  <c r="B153" i="11"/>
  <c r="C152" i="11"/>
  <c r="B152" i="11"/>
  <c r="C151" i="11"/>
  <c r="B151" i="11"/>
  <c r="C150" i="11"/>
  <c r="B150" i="11"/>
  <c r="C149" i="11"/>
  <c r="B149" i="11"/>
  <c r="C148" i="11"/>
  <c r="B148" i="11"/>
  <c r="C147" i="11"/>
  <c r="B147" i="11"/>
  <c r="C146" i="11"/>
  <c r="B146" i="11"/>
  <c r="C145" i="11"/>
  <c r="B145" i="11"/>
  <c r="C144" i="11"/>
  <c r="B144" i="11"/>
  <c r="C143" i="11"/>
  <c r="B143" i="11"/>
  <c r="C142" i="11"/>
  <c r="B142" i="11"/>
  <c r="C141" i="11"/>
  <c r="B141" i="11"/>
  <c r="C140" i="11"/>
  <c r="B140" i="11"/>
  <c r="C139" i="11"/>
  <c r="B139" i="11"/>
  <c r="C138" i="11"/>
  <c r="B138" i="11"/>
  <c r="C137" i="11"/>
  <c r="B137" i="11"/>
  <c r="C136" i="11"/>
  <c r="B136" i="11"/>
  <c r="C135" i="11"/>
  <c r="B135" i="11"/>
  <c r="C134" i="11"/>
  <c r="B134" i="11"/>
  <c r="C133" i="11"/>
  <c r="B133" i="11"/>
  <c r="C132" i="11"/>
  <c r="B132" i="11"/>
  <c r="C131" i="11"/>
  <c r="B131" i="11"/>
  <c r="C130" i="11"/>
  <c r="B130" i="11"/>
  <c r="C129" i="11"/>
  <c r="B129" i="11"/>
  <c r="C128" i="11"/>
  <c r="B128" i="11"/>
  <c r="C127" i="11"/>
  <c r="B127" i="11"/>
  <c r="C126" i="11"/>
  <c r="B126" i="11"/>
  <c r="C125" i="11"/>
  <c r="B125" i="11"/>
  <c r="C124" i="11"/>
  <c r="B124" i="11"/>
  <c r="C123" i="11"/>
  <c r="B123" i="11"/>
  <c r="C122" i="11"/>
  <c r="B122" i="11"/>
  <c r="C121" i="11"/>
  <c r="B121" i="11"/>
  <c r="C120" i="11"/>
  <c r="B120" i="11"/>
  <c r="C119" i="11"/>
  <c r="B119" i="11"/>
  <c r="C118" i="11"/>
  <c r="B118" i="11"/>
  <c r="C117" i="11"/>
  <c r="B117" i="11"/>
  <c r="C116" i="11"/>
  <c r="B116" i="11"/>
  <c r="C115" i="11"/>
  <c r="B115" i="11"/>
  <c r="C114" i="11"/>
  <c r="B114" i="11"/>
  <c r="C113" i="11"/>
  <c r="B113" i="11"/>
  <c r="C112" i="11"/>
  <c r="B112" i="11"/>
  <c r="C111" i="11"/>
  <c r="B111" i="11"/>
  <c r="C110" i="11"/>
  <c r="B110" i="11"/>
  <c r="C109" i="11"/>
  <c r="B109" i="11"/>
  <c r="C108" i="11"/>
  <c r="B108" i="11"/>
  <c r="C107" i="11"/>
  <c r="B107" i="11"/>
  <c r="C106" i="11"/>
  <c r="B106" i="11"/>
  <c r="C105" i="11"/>
  <c r="B105" i="11"/>
  <c r="C104" i="11"/>
  <c r="B104" i="11"/>
  <c r="C103" i="11"/>
  <c r="B103" i="11"/>
  <c r="C102" i="11"/>
  <c r="B102" i="11"/>
  <c r="C101" i="11"/>
  <c r="B101" i="11"/>
  <c r="C100" i="11"/>
  <c r="B100" i="11"/>
  <c r="C99" i="11"/>
  <c r="B99" i="11"/>
  <c r="C98" i="11"/>
  <c r="B98" i="11"/>
  <c r="C97" i="11"/>
  <c r="B97" i="11"/>
  <c r="C96" i="11"/>
  <c r="B96" i="11"/>
  <c r="C95" i="11"/>
  <c r="B95" i="11"/>
  <c r="C94" i="11"/>
  <c r="B94" i="11"/>
  <c r="C93" i="11"/>
  <c r="B93" i="11"/>
  <c r="C92" i="11"/>
  <c r="B92" i="11"/>
  <c r="C91" i="11"/>
  <c r="B91" i="11"/>
  <c r="C90" i="11"/>
  <c r="B90" i="11"/>
  <c r="C89" i="11"/>
  <c r="B89" i="11"/>
  <c r="C88" i="11"/>
  <c r="B88" i="11"/>
  <c r="C87" i="11"/>
  <c r="B87" i="11"/>
  <c r="C86" i="11"/>
  <c r="B86" i="11"/>
  <c r="C85" i="11"/>
  <c r="B85" i="11"/>
  <c r="C84" i="11"/>
  <c r="B84" i="11"/>
  <c r="C83" i="11"/>
  <c r="B83" i="11"/>
  <c r="C82" i="11"/>
  <c r="B82" i="11"/>
  <c r="C81" i="11"/>
  <c r="B81" i="11"/>
  <c r="C80" i="11"/>
  <c r="B80" i="11"/>
  <c r="C79" i="11"/>
  <c r="B79" i="11"/>
  <c r="C78" i="11"/>
  <c r="B78" i="11"/>
  <c r="C77" i="11"/>
  <c r="B77" i="11"/>
  <c r="C76" i="11"/>
  <c r="B76" i="11"/>
  <c r="C75" i="11"/>
  <c r="B75" i="11"/>
  <c r="C74" i="11"/>
  <c r="B74" i="11"/>
  <c r="C73" i="11"/>
  <c r="B73" i="11"/>
  <c r="C72" i="11"/>
  <c r="B72" i="11"/>
  <c r="C71" i="11"/>
  <c r="B71" i="11"/>
  <c r="C70" i="11"/>
  <c r="B70" i="11"/>
  <c r="C69" i="11"/>
  <c r="B69" i="11"/>
  <c r="C68" i="11"/>
  <c r="B68" i="11"/>
  <c r="C67" i="11"/>
  <c r="B67" i="11"/>
  <c r="C66" i="11"/>
  <c r="B66" i="11"/>
  <c r="C65" i="11"/>
  <c r="B65" i="11"/>
  <c r="C64" i="11"/>
  <c r="B64" i="11"/>
  <c r="C63" i="11"/>
  <c r="B63" i="11"/>
  <c r="C62" i="11"/>
  <c r="B62" i="11"/>
  <c r="C61" i="11"/>
  <c r="B61" i="11"/>
  <c r="C60" i="11"/>
  <c r="B60" i="11"/>
  <c r="C59" i="11"/>
  <c r="B59" i="11"/>
  <c r="C58" i="11"/>
  <c r="B58" i="11"/>
  <c r="C57" i="11"/>
  <c r="B57" i="11"/>
  <c r="C56" i="11"/>
  <c r="B56" i="11"/>
  <c r="C55" i="11"/>
  <c r="B55" i="11"/>
  <c r="C54" i="11"/>
  <c r="B54" i="11"/>
  <c r="C53" i="11"/>
  <c r="B53" i="11"/>
  <c r="C52" i="11"/>
  <c r="B52" i="11"/>
  <c r="C51" i="11"/>
  <c r="B51" i="11"/>
  <c r="C50" i="11"/>
  <c r="B50" i="11"/>
  <c r="C49" i="11"/>
  <c r="B49" i="11"/>
  <c r="C48" i="11"/>
  <c r="B48" i="11"/>
  <c r="C47" i="11"/>
  <c r="B47" i="11"/>
  <c r="C46" i="11"/>
  <c r="B46" i="11"/>
  <c r="C45" i="11"/>
  <c r="B45" i="11"/>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515" i="1"/>
  <c r="C514" i="1"/>
  <c r="C513" i="1"/>
  <c r="C512"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72" i="1"/>
  <c r="C471" i="1"/>
  <c r="C470" i="1"/>
  <c r="C469" i="1"/>
  <c r="C468" i="1"/>
  <c r="C467" i="1"/>
  <c r="C466" i="1"/>
  <c r="C465" i="1"/>
  <c r="C464" i="1"/>
  <c r="C463" i="1"/>
  <c r="C462" i="1"/>
  <c r="C461" i="1"/>
  <c r="C460" i="1"/>
  <c r="C459" i="1"/>
  <c r="C458" i="1"/>
  <c r="C457"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514" i="8"/>
  <c r="B514" i="8"/>
  <c r="C513" i="8"/>
  <c r="B513" i="8"/>
  <c r="C512" i="8"/>
  <c r="B512" i="8"/>
  <c r="C511" i="8"/>
  <c r="B511" i="8"/>
  <c r="C510" i="8"/>
  <c r="B510" i="8"/>
  <c r="C509" i="8"/>
  <c r="B509" i="8"/>
  <c r="C508" i="8"/>
  <c r="B508" i="8"/>
  <c r="C507" i="8"/>
  <c r="B507" i="8"/>
  <c r="C506" i="8"/>
  <c r="B506" i="8"/>
  <c r="C505" i="8"/>
  <c r="B505" i="8"/>
  <c r="C504" i="8"/>
  <c r="B504" i="8"/>
  <c r="C503" i="8"/>
  <c r="B503" i="8"/>
  <c r="C502" i="8"/>
  <c r="B502" i="8"/>
  <c r="C501" i="8"/>
  <c r="B501" i="8"/>
  <c r="C500" i="8"/>
  <c r="B500" i="8"/>
  <c r="C499" i="8"/>
  <c r="B499" i="8"/>
  <c r="C498" i="8"/>
  <c r="B498" i="8"/>
  <c r="C497" i="8"/>
  <c r="B497" i="8"/>
  <c r="C496" i="8"/>
  <c r="B496" i="8"/>
  <c r="C495" i="8"/>
  <c r="B495" i="8"/>
  <c r="C494" i="8"/>
  <c r="B494" i="8"/>
  <c r="C493" i="8"/>
  <c r="B493" i="8"/>
  <c r="C492" i="8"/>
  <c r="B492" i="8"/>
  <c r="C491" i="8"/>
  <c r="B491" i="8"/>
  <c r="C490" i="8"/>
  <c r="B490" i="8"/>
  <c r="C489" i="8"/>
  <c r="B489" i="8"/>
  <c r="C488" i="8"/>
  <c r="B488" i="8"/>
  <c r="C487" i="8"/>
  <c r="B487" i="8"/>
  <c r="C486" i="8"/>
  <c r="B486" i="8"/>
  <c r="C485" i="8"/>
  <c r="B485" i="8"/>
  <c r="C484" i="8"/>
  <c r="B484" i="8"/>
  <c r="C483" i="8"/>
  <c r="B483" i="8"/>
  <c r="C482" i="8"/>
  <c r="B482" i="8"/>
  <c r="C481" i="8"/>
  <c r="B481" i="8"/>
  <c r="C480" i="8"/>
  <c r="B480" i="8"/>
  <c r="C479" i="8"/>
  <c r="B479" i="8"/>
  <c r="C478" i="8"/>
  <c r="B478" i="8"/>
  <c r="C477" i="8"/>
  <c r="B477" i="8"/>
  <c r="C476" i="8"/>
  <c r="B476" i="8"/>
  <c r="C475" i="8"/>
  <c r="B475" i="8"/>
  <c r="C474" i="8"/>
  <c r="B474" i="8"/>
  <c r="C473" i="8"/>
  <c r="B473" i="8"/>
  <c r="C472" i="8"/>
  <c r="B472" i="8"/>
  <c r="C471" i="8"/>
  <c r="B471" i="8"/>
  <c r="C470" i="8"/>
  <c r="B470" i="8"/>
  <c r="C469" i="8"/>
  <c r="B469" i="8"/>
  <c r="C468" i="8"/>
  <c r="B468" i="8"/>
  <c r="C467" i="8"/>
  <c r="B467" i="8"/>
  <c r="C466" i="8"/>
  <c r="B466" i="8"/>
  <c r="C465" i="8"/>
  <c r="B465" i="8"/>
  <c r="C464" i="8"/>
  <c r="B464" i="8"/>
  <c r="C463" i="8"/>
  <c r="B463" i="8"/>
  <c r="C462" i="8"/>
  <c r="B462" i="8"/>
  <c r="C461" i="8"/>
  <c r="B461" i="8"/>
  <c r="C460" i="8"/>
  <c r="B460" i="8"/>
  <c r="C459" i="8"/>
  <c r="B459" i="8"/>
  <c r="C458" i="8"/>
  <c r="B458" i="8"/>
  <c r="C457" i="8"/>
  <c r="B457" i="8"/>
  <c r="C456" i="8"/>
  <c r="B456" i="8"/>
  <c r="C455" i="8"/>
  <c r="B455" i="8"/>
  <c r="C454" i="8"/>
  <c r="B454" i="8"/>
  <c r="C453" i="8"/>
  <c r="B453" i="8"/>
  <c r="C452" i="8"/>
  <c r="B452" i="8"/>
  <c r="C451" i="8"/>
  <c r="B451" i="8"/>
  <c r="C450" i="8"/>
  <c r="B450" i="8"/>
  <c r="C449" i="8"/>
  <c r="B449" i="8"/>
  <c r="C448" i="8"/>
  <c r="B448" i="8"/>
  <c r="C447" i="8"/>
  <c r="B447" i="8"/>
  <c r="C446" i="8"/>
  <c r="B446" i="8"/>
  <c r="C445" i="8"/>
  <c r="B445" i="8"/>
  <c r="C444" i="8"/>
  <c r="B444" i="8"/>
  <c r="C443" i="8"/>
  <c r="B443" i="8"/>
  <c r="C442" i="8"/>
  <c r="B442" i="8"/>
  <c r="C441" i="8"/>
  <c r="B441" i="8"/>
  <c r="C440" i="8"/>
  <c r="B440" i="8"/>
  <c r="C439" i="8"/>
  <c r="B439" i="8"/>
  <c r="C438" i="8"/>
  <c r="B438" i="8"/>
  <c r="C437" i="8"/>
  <c r="B437" i="8"/>
  <c r="C436" i="8"/>
  <c r="B436" i="8"/>
  <c r="C435" i="8"/>
  <c r="B435" i="8"/>
  <c r="C434" i="8"/>
  <c r="B434" i="8"/>
  <c r="C433" i="8"/>
  <c r="B433" i="8"/>
  <c r="C432" i="8"/>
  <c r="B432" i="8"/>
  <c r="C431" i="8"/>
  <c r="B431" i="8"/>
  <c r="C430" i="8"/>
  <c r="B430" i="8"/>
  <c r="C429" i="8"/>
  <c r="B429" i="8"/>
  <c r="C428" i="8"/>
  <c r="B428" i="8"/>
  <c r="C427" i="8"/>
  <c r="B427" i="8"/>
  <c r="C426" i="8"/>
  <c r="B426" i="8"/>
  <c r="C425" i="8"/>
  <c r="B425" i="8"/>
  <c r="C424" i="8"/>
  <c r="B424" i="8"/>
  <c r="C423" i="8"/>
  <c r="B423" i="8"/>
  <c r="C422" i="8"/>
  <c r="B422" i="8"/>
  <c r="C421" i="8"/>
  <c r="B421" i="8"/>
  <c r="C420" i="8"/>
  <c r="B420" i="8"/>
  <c r="C419" i="8"/>
  <c r="B419" i="8"/>
  <c r="C418" i="8"/>
  <c r="B418" i="8"/>
  <c r="C417" i="8"/>
  <c r="B417" i="8"/>
  <c r="C416" i="8"/>
  <c r="B416" i="8"/>
  <c r="C415" i="8"/>
  <c r="B415" i="8"/>
  <c r="C414" i="8"/>
  <c r="B414" i="8"/>
  <c r="C413" i="8"/>
  <c r="B413" i="8"/>
  <c r="C412" i="8"/>
  <c r="B412" i="8"/>
  <c r="C411" i="8"/>
  <c r="B411" i="8"/>
  <c r="C410" i="8"/>
  <c r="B410" i="8"/>
  <c r="C409" i="8"/>
  <c r="B409" i="8"/>
  <c r="C408" i="8"/>
  <c r="B408" i="8"/>
  <c r="C407" i="8"/>
  <c r="B407" i="8"/>
  <c r="C406" i="8"/>
  <c r="B406" i="8"/>
  <c r="C405" i="8"/>
  <c r="B405" i="8"/>
  <c r="C404" i="8"/>
  <c r="B404" i="8"/>
  <c r="C403" i="8"/>
  <c r="B403" i="8"/>
  <c r="C402" i="8"/>
  <c r="B402" i="8"/>
  <c r="C401" i="8"/>
  <c r="B401" i="8"/>
  <c r="C400" i="8"/>
  <c r="B400" i="8"/>
  <c r="C399" i="8"/>
  <c r="B399" i="8"/>
  <c r="C398" i="8"/>
  <c r="B398" i="8"/>
  <c r="C397" i="8"/>
  <c r="B397" i="8"/>
  <c r="C396" i="8"/>
  <c r="B396" i="8"/>
  <c r="C395" i="8"/>
  <c r="B395" i="8"/>
  <c r="C394" i="8"/>
  <c r="B394" i="8"/>
  <c r="C393" i="8"/>
  <c r="B393" i="8"/>
  <c r="C392" i="8"/>
  <c r="B392" i="8"/>
  <c r="C391" i="8"/>
  <c r="B391" i="8"/>
  <c r="C390" i="8"/>
  <c r="B390" i="8"/>
  <c r="C389" i="8"/>
  <c r="B389" i="8"/>
  <c r="C388" i="8"/>
  <c r="B388" i="8"/>
  <c r="C387" i="8"/>
  <c r="B387" i="8"/>
  <c r="C386" i="8"/>
  <c r="B386" i="8"/>
  <c r="C385" i="8"/>
  <c r="B385" i="8"/>
  <c r="C384" i="8"/>
  <c r="B384" i="8"/>
  <c r="C383" i="8"/>
  <c r="B383" i="8"/>
  <c r="C382" i="8"/>
  <c r="B382" i="8"/>
  <c r="C381" i="8"/>
  <c r="B381" i="8"/>
  <c r="C380" i="8"/>
  <c r="B380" i="8"/>
  <c r="C379" i="8"/>
  <c r="B379" i="8"/>
  <c r="C378" i="8"/>
  <c r="B378" i="8"/>
  <c r="C377" i="8"/>
  <c r="B377" i="8"/>
  <c r="C376" i="8"/>
  <c r="B376" i="8"/>
  <c r="C375" i="8"/>
  <c r="B375" i="8"/>
  <c r="C374" i="8"/>
  <c r="B374" i="8"/>
  <c r="C373" i="8"/>
  <c r="B373" i="8"/>
  <c r="C372" i="8"/>
  <c r="B372" i="8"/>
  <c r="C371" i="8"/>
  <c r="B371" i="8"/>
  <c r="C370" i="8"/>
  <c r="B370" i="8"/>
  <c r="C369" i="8"/>
  <c r="B369" i="8"/>
  <c r="C368" i="8"/>
  <c r="B368" i="8"/>
  <c r="C367" i="8"/>
  <c r="B367" i="8"/>
  <c r="C366" i="8"/>
  <c r="B366" i="8"/>
  <c r="C365" i="8"/>
  <c r="B365" i="8"/>
  <c r="C364" i="8"/>
  <c r="B364" i="8"/>
  <c r="C363" i="8"/>
  <c r="B363" i="8"/>
  <c r="C362" i="8"/>
  <c r="B362" i="8"/>
  <c r="C361" i="8"/>
  <c r="B361" i="8"/>
  <c r="C360" i="8"/>
  <c r="B360" i="8"/>
  <c r="C359" i="8"/>
  <c r="B359" i="8"/>
  <c r="C358" i="8"/>
  <c r="B358" i="8"/>
  <c r="C357" i="8"/>
  <c r="B357" i="8"/>
  <c r="C356" i="8"/>
  <c r="B356" i="8"/>
  <c r="C355" i="8"/>
  <c r="B355" i="8"/>
  <c r="C354" i="8"/>
  <c r="B354" i="8"/>
  <c r="C353" i="8"/>
  <c r="B353" i="8"/>
  <c r="C352" i="8"/>
  <c r="B352" i="8"/>
  <c r="C351" i="8"/>
  <c r="B351" i="8"/>
  <c r="C350" i="8"/>
  <c r="B350" i="8"/>
  <c r="C349" i="8"/>
  <c r="B349" i="8"/>
  <c r="C348" i="8"/>
  <c r="B348" i="8"/>
  <c r="C347" i="8"/>
  <c r="B347" i="8"/>
  <c r="C346" i="8"/>
  <c r="B346" i="8"/>
  <c r="C345" i="8"/>
  <c r="B345" i="8"/>
  <c r="C344" i="8"/>
  <c r="B344" i="8"/>
  <c r="C343" i="8"/>
  <c r="B343" i="8"/>
  <c r="C342" i="8"/>
  <c r="B342" i="8"/>
  <c r="C341" i="8"/>
  <c r="B341" i="8"/>
  <c r="C340" i="8"/>
  <c r="B340" i="8"/>
  <c r="C339" i="8"/>
  <c r="B339" i="8"/>
  <c r="C338" i="8"/>
  <c r="B338" i="8"/>
  <c r="C337" i="8"/>
  <c r="B337" i="8"/>
  <c r="C336" i="8"/>
  <c r="B336" i="8"/>
  <c r="C335" i="8"/>
  <c r="B335" i="8"/>
  <c r="C334" i="8"/>
  <c r="B334" i="8"/>
  <c r="C333" i="8"/>
  <c r="B333" i="8"/>
  <c r="C332" i="8"/>
  <c r="B332" i="8"/>
  <c r="C331" i="8"/>
  <c r="B331" i="8"/>
  <c r="C330" i="8"/>
  <c r="B330" i="8"/>
  <c r="C329" i="8"/>
  <c r="B329" i="8"/>
  <c r="C328" i="8"/>
  <c r="B328" i="8"/>
  <c r="C327" i="8"/>
  <c r="B327" i="8"/>
  <c r="C326" i="8"/>
  <c r="B326" i="8"/>
  <c r="C325" i="8"/>
  <c r="B325" i="8"/>
  <c r="C324" i="8"/>
  <c r="B324" i="8"/>
  <c r="C323" i="8"/>
  <c r="B323" i="8"/>
  <c r="C322" i="8"/>
  <c r="B322" i="8"/>
  <c r="C321" i="8"/>
  <c r="B321" i="8"/>
  <c r="C320" i="8"/>
  <c r="B320" i="8"/>
  <c r="C319" i="8"/>
  <c r="B319" i="8"/>
  <c r="C318" i="8"/>
  <c r="B318" i="8"/>
  <c r="C317" i="8"/>
  <c r="B317" i="8"/>
  <c r="C316" i="8"/>
  <c r="B316" i="8"/>
  <c r="C315" i="8"/>
  <c r="B315" i="8"/>
  <c r="C314" i="8"/>
  <c r="B314" i="8"/>
  <c r="C313" i="8"/>
  <c r="B313" i="8"/>
  <c r="C312" i="8"/>
  <c r="B312" i="8"/>
  <c r="C311" i="8"/>
  <c r="B311" i="8"/>
  <c r="C310" i="8"/>
  <c r="B310" i="8"/>
  <c r="C309" i="8"/>
  <c r="B309" i="8"/>
  <c r="C308" i="8"/>
  <c r="B308" i="8"/>
  <c r="C307" i="8"/>
  <c r="B307" i="8"/>
  <c r="C306" i="8"/>
  <c r="B306" i="8"/>
  <c r="C305" i="8"/>
  <c r="B305" i="8"/>
  <c r="C304" i="8"/>
  <c r="B304" i="8"/>
  <c r="C303" i="8"/>
  <c r="B303" i="8"/>
  <c r="C302" i="8"/>
  <c r="B302" i="8"/>
  <c r="C301" i="8"/>
  <c r="B301" i="8"/>
  <c r="C300" i="8"/>
  <c r="B300" i="8"/>
  <c r="C299" i="8"/>
  <c r="B299" i="8"/>
  <c r="C298" i="8"/>
  <c r="B298" i="8"/>
  <c r="C297" i="8"/>
  <c r="B297" i="8"/>
  <c r="C296" i="8"/>
  <c r="B296" i="8"/>
  <c r="C295" i="8"/>
  <c r="B295" i="8"/>
  <c r="C294" i="8"/>
  <c r="B294" i="8"/>
  <c r="C293" i="8"/>
  <c r="B293" i="8"/>
  <c r="C292" i="8"/>
  <c r="B292" i="8"/>
  <c r="C291" i="8"/>
  <c r="B291" i="8"/>
  <c r="C290" i="8"/>
  <c r="B290" i="8"/>
  <c r="C289" i="8"/>
  <c r="B289" i="8"/>
  <c r="C288" i="8"/>
  <c r="B288" i="8"/>
  <c r="C287" i="8"/>
  <c r="B287" i="8"/>
  <c r="C286" i="8"/>
  <c r="B286" i="8"/>
  <c r="C285" i="8"/>
  <c r="B285" i="8"/>
  <c r="C284" i="8"/>
  <c r="B284" i="8"/>
  <c r="C283" i="8"/>
  <c r="B283" i="8"/>
  <c r="C282" i="8"/>
  <c r="B282" i="8"/>
  <c r="C281" i="8"/>
  <c r="B281" i="8"/>
  <c r="C280" i="8"/>
  <c r="B280" i="8"/>
  <c r="C279" i="8"/>
  <c r="B279" i="8"/>
  <c r="C278" i="8"/>
  <c r="B278" i="8"/>
  <c r="C277" i="8"/>
  <c r="B277" i="8"/>
  <c r="C276" i="8"/>
  <c r="B276" i="8"/>
  <c r="C275" i="8"/>
  <c r="B275" i="8"/>
  <c r="C274" i="8"/>
  <c r="B274" i="8"/>
  <c r="C273" i="8"/>
  <c r="B273" i="8"/>
  <c r="C272" i="8"/>
  <c r="B272" i="8"/>
  <c r="C271" i="8"/>
  <c r="B271" i="8"/>
  <c r="C270" i="8"/>
  <c r="B270" i="8"/>
  <c r="C269" i="8"/>
  <c r="B269" i="8"/>
  <c r="C268" i="8"/>
  <c r="B268" i="8"/>
  <c r="C267" i="8"/>
  <c r="B267" i="8"/>
  <c r="C266" i="8"/>
  <c r="B266" i="8"/>
  <c r="C265" i="8"/>
  <c r="B265" i="8"/>
  <c r="C264" i="8"/>
  <c r="B264" i="8"/>
  <c r="C263" i="8"/>
  <c r="B263" i="8"/>
  <c r="C262" i="8"/>
  <c r="B262" i="8"/>
  <c r="C261" i="8"/>
  <c r="B261" i="8"/>
  <c r="C260" i="8"/>
  <c r="B260" i="8"/>
  <c r="C259" i="8"/>
  <c r="B259" i="8"/>
  <c r="C258" i="8"/>
  <c r="B258" i="8"/>
  <c r="C257" i="8"/>
  <c r="B257" i="8"/>
  <c r="C256" i="8"/>
  <c r="B256" i="8"/>
  <c r="C255" i="8"/>
  <c r="B255" i="8"/>
  <c r="C254" i="8"/>
  <c r="B254" i="8"/>
  <c r="C253" i="8"/>
  <c r="B253" i="8"/>
  <c r="C252" i="8"/>
  <c r="B252" i="8"/>
  <c r="C251" i="8"/>
  <c r="B251" i="8"/>
  <c r="C250" i="8"/>
  <c r="B250" i="8"/>
  <c r="C249" i="8"/>
  <c r="B249" i="8"/>
  <c r="C248" i="8"/>
  <c r="B248" i="8"/>
  <c r="C247" i="8"/>
  <c r="B247" i="8"/>
  <c r="C246" i="8"/>
  <c r="B246" i="8"/>
  <c r="C245" i="8"/>
  <c r="B245" i="8"/>
  <c r="C244" i="8"/>
  <c r="B244" i="8"/>
  <c r="C243" i="8"/>
  <c r="B243" i="8"/>
  <c r="C242" i="8"/>
  <c r="B242" i="8"/>
  <c r="C241" i="8"/>
  <c r="B241" i="8"/>
  <c r="C240" i="8"/>
  <c r="B240" i="8"/>
  <c r="C239" i="8"/>
  <c r="B239" i="8"/>
  <c r="C238" i="8"/>
  <c r="B238" i="8"/>
  <c r="C237" i="8"/>
  <c r="B237" i="8"/>
  <c r="C236" i="8"/>
  <c r="B236" i="8"/>
  <c r="C235" i="8"/>
  <c r="B235" i="8"/>
  <c r="C234" i="8"/>
  <c r="B234" i="8"/>
  <c r="C233" i="8"/>
  <c r="B233" i="8"/>
  <c r="C232" i="8"/>
  <c r="B232" i="8"/>
  <c r="C231" i="8"/>
  <c r="B231" i="8"/>
  <c r="C230" i="8"/>
  <c r="B230" i="8"/>
  <c r="C229" i="8"/>
  <c r="B229" i="8"/>
  <c r="C228" i="8"/>
  <c r="B228" i="8"/>
  <c r="C227" i="8"/>
  <c r="B227" i="8"/>
  <c r="C226" i="8"/>
  <c r="B226" i="8"/>
  <c r="C225" i="8"/>
  <c r="B225" i="8"/>
  <c r="C224" i="8"/>
  <c r="B224" i="8"/>
  <c r="C223" i="8"/>
  <c r="B223" i="8"/>
  <c r="C222" i="8"/>
  <c r="B222" i="8"/>
  <c r="C221" i="8"/>
  <c r="B221" i="8"/>
  <c r="C220" i="8"/>
  <c r="B220" i="8"/>
  <c r="C219" i="8"/>
  <c r="B219" i="8"/>
  <c r="C218" i="8"/>
  <c r="B218" i="8"/>
  <c r="C217" i="8"/>
  <c r="B217" i="8"/>
  <c r="C216" i="8"/>
  <c r="B216" i="8"/>
  <c r="C215" i="8"/>
  <c r="B215" i="8"/>
  <c r="C214" i="8"/>
  <c r="B214" i="8"/>
  <c r="C213" i="8"/>
  <c r="B213" i="8"/>
  <c r="C212" i="8"/>
  <c r="B212" i="8"/>
  <c r="C211" i="8"/>
  <c r="B211" i="8"/>
  <c r="C210" i="8"/>
  <c r="B210" i="8"/>
  <c r="C209" i="8"/>
  <c r="B209" i="8"/>
  <c r="C208" i="8"/>
  <c r="B208" i="8"/>
  <c r="C207" i="8"/>
  <c r="B207" i="8"/>
  <c r="C206" i="8"/>
  <c r="B206" i="8"/>
  <c r="C205" i="8"/>
  <c r="B205" i="8"/>
  <c r="C204" i="8"/>
  <c r="B204" i="8"/>
  <c r="C203" i="8"/>
  <c r="B203" i="8"/>
  <c r="C202" i="8"/>
  <c r="B202" i="8"/>
  <c r="C201" i="8"/>
  <c r="B201" i="8"/>
  <c r="C200" i="8"/>
  <c r="B200" i="8"/>
  <c r="C199" i="8"/>
  <c r="B199" i="8"/>
  <c r="C198" i="8"/>
  <c r="B198" i="8"/>
  <c r="C197" i="8"/>
  <c r="B197" i="8"/>
  <c r="C196" i="8"/>
  <c r="B196" i="8"/>
  <c r="C195" i="8"/>
  <c r="B195" i="8"/>
  <c r="C194" i="8"/>
  <c r="B194" i="8"/>
  <c r="C193" i="8"/>
  <c r="B193" i="8"/>
  <c r="C192" i="8"/>
  <c r="B192" i="8"/>
  <c r="C191" i="8"/>
  <c r="B191" i="8"/>
  <c r="C190" i="8"/>
  <c r="B190" i="8"/>
  <c r="C189" i="8"/>
  <c r="B189" i="8"/>
  <c r="C188" i="8"/>
  <c r="B188" i="8"/>
  <c r="C187" i="8"/>
  <c r="B187" i="8"/>
  <c r="C186" i="8"/>
  <c r="B186" i="8"/>
  <c r="C185" i="8"/>
  <c r="B185" i="8"/>
  <c r="C184" i="8"/>
  <c r="B184" i="8"/>
  <c r="C183" i="8"/>
  <c r="B183" i="8"/>
  <c r="C182" i="8"/>
  <c r="B182" i="8"/>
  <c r="C181" i="8"/>
  <c r="B181" i="8"/>
  <c r="C180" i="8"/>
  <c r="B180" i="8"/>
  <c r="C179" i="8"/>
  <c r="B179" i="8"/>
  <c r="C178" i="8"/>
  <c r="B178" i="8"/>
  <c r="C177" i="8"/>
  <c r="B177" i="8"/>
  <c r="C176" i="8"/>
  <c r="B176" i="8"/>
  <c r="C175" i="8"/>
  <c r="B175" i="8"/>
  <c r="C174" i="8"/>
  <c r="B174" i="8"/>
  <c r="C173" i="8"/>
  <c r="B173" i="8"/>
  <c r="C172" i="8"/>
  <c r="B172" i="8"/>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B514" i="7"/>
  <c r="B513" i="7"/>
  <c r="B512" i="7"/>
  <c r="B511" i="7"/>
  <c r="B510" i="7"/>
  <c r="B509" i="7"/>
  <c r="B508" i="7"/>
  <c r="B507" i="7"/>
  <c r="B506" i="7"/>
  <c r="B505" i="7"/>
  <c r="B504" i="7"/>
  <c r="B503" i="7"/>
  <c r="B502" i="7"/>
  <c r="B501" i="7"/>
  <c r="B500" i="7"/>
  <c r="B499" i="7"/>
  <c r="B498" i="7"/>
  <c r="B497" i="7"/>
  <c r="B496" i="7"/>
  <c r="B495" i="7"/>
  <c r="B494" i="7"/>
  <c r="B493" i="7"/>
  <c r="B492" i="7"/>
  <c r="B491" i="7"/>
  <c r="B490" i="7"/>
  <c r="B489" i="7"/>
  <c r="B488" i="7"/>
  <c r="B487" i="7"/>
  <c r="B486" i="7"/>
  <c r="B485" i="7"/>
  <c r="B484" i="7"/>
  <c r="B483" i="7"/>
  <c r="B482" i="7"/>
  <c r="B481" i="7"/>
  <c r="B480" i="7"/>
  <c r="B479" i="7"/>
  <c r="B478" i="7"/>
  <c r="B477" i="7"/>
  <c r="B476" i="7"/>
  <c r="B475" i="7"/>
  <c r="B474" i="7"/>
  <c r="B473" i="7"/>
  <c r="B472" i="7"/>
  <c r="B471" i="7"/>
  <c r="B470" i="7"/>
  <c r="B469" i="7"/>
  <c r="B468" i="7"/>
  <c r="B467" i="7"/>
  <c r="B466" i="7"/>
  <c r="B465" i="7"/>
  <c r="B464" i="7"/>
  <c r="B463" i="7"/>
  <c r="B462" i="7"/>
  <c r="B461" i="7"/>
  <c r="B460" i="7"/>
  <c r="B459" i="7"/>
  <c r="B458" i="7"/>
  <c r="B457" i="7"/>
  <c r="B456" i="7"/>
  <c r="B455" i="7"/>
  <c r="B454" i="7"/>
  <c r="B453" i="7"/>
  <c r="B452" i="7"/>
  <c r="B451" i="7"/>
  <c r="B450" i="7"/>
  <c r="B449" i="7"/>
  <c r="B448" i="7"/>
  <c r="B447" i="7"/>
  <c r="B446" i="7"/>
  <c r="B445" i="7"/>
  <c r="B444" i="7"/>
  <c r="B443" i="7"/>
  <c r="B442" i="7"/>
  <c r="B441" i="7"/>
  <c r="B440" i="7"/>
  <c r="B439" i="7"/>
  <c r="B438" i="7"/>
  <c r="B437" i="7"/>
  <c r="B436" i="7"/>
  <c r="B435" i="7"/>
  <c r="B434" i="7"/>
  <c r="B433" i="7"/>
  <c r="B432" i="7"/>
  <c r="B431" i="7"/>
  <c r="B430" i="7"/>
  <c r="B429" i="7"/>
  <c r="B428" i="7"/>
  <c r="B427" i="7"/>
  <c r="B426" i="7"/>
  <c r="B425" i="7"/>
  <c r="B424" i="7"/>
  <c r="B423" i="7"/>
  <c r="B422" i="7"/>
  <c r="B421" i="7"/>
  <c r="B420" i="7"/>
  <c r="B419" i="7"/>
  <c r="B418" i="7"/>
  <c r="B417" i="7"/>
  <c r="B416" i="7"/>
  <c r="B415" i="7"/>
  <c r="B414" i="7"/>
  <c r="B413" i="7"/>
  <c r="B412" i="7"/>
  <c r="B411" i="7"/>
  <c r="B410" i="7"/>
  <c r="B409" i="7"/>
  <c r="B408" i="7"/>
  <c r="B407" i="7"/>
  <c r="B406" i="7"/>
  <c r="B405" i="7"/>
  <c r="B404" i="7"/>
  <c r="B403" i="7"/>
  <c r="B402" i="7"/>
  <c r="B401" i="7"/>
  <c r="B400" i="7"/>
  <c r="B399" i="7"/>
  <c r="B398" i="7"/>
  <c r="B397" i="7"/>
  <c r="B396" i="7"/>
  <c r="B395" i="7"/>
  <c r="B394" i="7"/>
  <c r="B393" i="7"/>
  <c r="B392" i="7"/>
  <c r="B391" i="7"/>
  <c r="B390" i="7"/>
  <c r="B389" i="7"/>
  <c r="B388" i="7"/>
  <c r="B387" i="7"/>
  <c r="B386" i="7"/>
  <c r="B385" i="7"/>
  <c r="B384" i="7"/>
  <c r="B383" i="7"/>
  <c r="B382" i="7"/>
  <c r="B381" i="7"/>
  <c r="B380" i="7"/>
  <c r="B379" i="7"/>
  <c r="B378" i="7"/>
  <c r="B377" i="7"/>
  <c r="B376" i="7"/>
  <c r="B375" i="7"/>
  <c r="B374" i="7"/>
  <c r="B373" i="7"/>
  <c r="B372" i="7"/>
  <c r="B371" i="7"/>
  <c r="B370" i="7"/>
  <c r="B369" i="7"/>
  <c r="B368" i="7"/>
  <c r="B367" i="7"/>
  <c r="B366" i="7"/>
  <c r="B365" i="7"/>
  <c r="B364" i="7"/>
  <c r="B363" i="7"/>
  <c r="B362" i="7"/>
  <c r="B361" i="7"/>
  <c r="B360" i="7"/>
  <c r="B359" i="7"/>
  <c r="B358" i="7"/>
  <c r="B357" i="7"/>
  <c r="B356" i="7"/>
  <c r="B355" i="7"/>
  <c r="B354" i="7"/>
  <c r="B353" i="7"/>
  <c r="B352" i="7"/>
  <c r="B351" i="7"/>
  <c r="B350" i="7"/>
  <c r="B349" i="7"/>
  <c r="B348" i="7"/>
  <c r="B347" i="7"/>
  <c r="B346" i="7"/>
  <c r="B345" i="7"/>
  <c r="B344" i="7"/>
  <c r="B343" i="7"/>
  <c r="B342" i="7"/>
  <c r="B341" i="7"/>
  <c r="B340" i="7"/>
  <c r="B339" i="7"/>
  <c r="B338" i="7"/>
  <c r="B337" i="7"/>
  <c r="B336" i="7"/>
  <c r="B335" i="7"/>
  <c r="B334" i="7"/>
  <c r="B333" i="7"/>
  <c r="B332" i="7"/>
  <c r="B331" i="7"/>
  <c r="B330" i="7"/>
  <c r="B329" i="7"/>
  <c r="B328" i="7"/>
  <c r="B327" i="7"/>
  <c r="B326" i="7"/>
  <c r="B325" i="7"/>
  <c r="B324" i="7"/>
  <c r="B323" i="7"/>
  <c r="B322" i="7"/>
  <c r="B321" i="7"/>
  <c r="B320" i="7"/>
  <c r="B319" i="7"/>
  <c r="B318" i="7"/>
  <c r="B317" i="7"/>
  <c r="B316" i="7"/>
  <c r="B315" i="7"/>
  <c r="B314" i="7"/>
  <c r="B313" i="7"/>
  <c r="B312" i="7"/>
  <c r="B311" i="7"/>
  <c r="B310" i="7"/>
  <c r="B309" i="7"/>
  <c r="B308" i="7"/>
  <c r="B307" i="7"/>
  <c r="B306" i="7"/>
  <c r="B305" i="7"/>
  <c r="B304" i="7"/>
  <c r="B303" i="7"/>
  <c r="B302" i="7"/>
  <c r="B301" i="7"/>
  <c r="B300" i="7"/>
  <c r="B299" i="7"/>
  <c r="B298" i="7"/>
  <c r="B297" i="7"/>
  <c r="B296" i="7"/>
  <c r="B295" i="7"/>
  <c r="B294" i="7"/>
  <c r="B293" i="7"/>
  <c r="B292" i="7"/>
  <c r="B291" i="7"/>
  <c r="B290" i="7"/>
  <c r="B289" i="7"/>
  <c r="B288" i="7"/>
  <c r="B287" i="7"/>
  <c r="B286" i="7"/>
  <c r="B285" i="7"/>
  <c r="B284" i="7"/>
  <c r="B283" i="7"/>
  <c r="B282" i="7"/>
  <c r="B281" i="7"/>
  <c r="B280" i="7"/>
  <c r="B279" i="7"/>
  <c r="B278" i="7"/>
  <c r="B277" i="7"/>
  <c r="B276" i="7"/>
  <c r="B275" i="7"/>
  <c r="B274" i="7"/>
  <c r="B273" i="7"/>
  <c r="B272" i="7"/>
  <c r="B271" i="7"/>
  <c r="B270" i="7"/>
  <c r="B269" i="7"/>
  <c r="B268" i="7"/>
  <c r="B267" i="7"/>
  <c r="B266" i="7"/>
  <c r="B265" i="7"/>
  <c r="B264" i="7"/>
  <c r="B263" i="7"/>
  <c r="B262" i="7"/>
  <c r="B261" i="7"/>
  <c r="B260" i="7"/>
  <c r="B259" i="7"/>
  <c r="B258" i="7"/>
  <c r="B257" i="7"/>
  <c r="B256" i="7"/>
  <c r="B255" i="7"/>
  <c r="B254" i="7"/>
  <c r="B253" i="7"/>
  <c r="B252" i="7"/>
  <c r="B251" i="7"/>
  <c r="B250" i="7"/>
  <c r="B249" i="7"/>
  <c r="B248" i="7"/>
  <c r="B247" i="7"/>
  <c r="B246" i="7"/>
  <c r="B245" i="7"/>
  <c r="B244" i="7"/>
  <c r="B243" i="7"/>
  <c r="B242" i="7"/>
  <c r="B241" i="7"/>
  <c r="B240" i="7"/>
  <c r="B239" i="7"/>
  <c r="B238" i="7"/>
  <c r="B237" i="7"/>
  <c r="B236" i="7"/>
  <c r="B235" i="7"/>
  <c r="B234" i="7"/>
  <c r="B233" i="7"/>
  <c r="B232" i="7"/>
  <c r="B231" i="7"/>
  <c r="B230" i="7"/>
  <c r="B229" i="7"/>
  <c r="B228" i="7"/>
  <c r="B227" i="7"/>
  <c r="B226" i="7"/>
  <c r="B225" i="7"/>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O15" i="11"/>
  <c r="P513" i="9"/>
  <c r="P513" i="10" s="1"/>
  <c r="P513" i="11" s="1"/>
  <c r="P505" i="9"/>
  <c r="P505" i="10" s="1"/>
  <c r="P505" i="11" s="1"/>
  <c r="P497" i="9"/>
  <c r="P497" i="10" s="1"/>
  <c r="P497" i="11" s="1"/>
  <c r="P489" i="9"/>
  <c r="P489" i="10" s="1"/>
  <c r="P489" i="11" s="1"/>
  <c r="P481" i="9"/>
  <c r="P481" i="10" s="1"/>
  <c r="P481" i="11" s="1"/>
  <c r="P473" i="9"/>
  <c r="P473" i="10" s="1"/>
  <c r="P473" i="11" s="1"/>
  <c r="P465" i="9"/>
  <c r="P465" i="10" s="1"/>
  <c r="P465" i="11" s="1"/>
  <c r="P457" i="9"/>
  <c r="P457" i="10" s="1"/>
  <c r="P457" i="11" s="1"/>
  <c r="P449" i="9"/>
  <c r="P449" i="10" s="1"/>
  <c r="P449" i="11" s="1"/>
  <c r="P441" i="9"/>
  <c r="P441" i="10" s="1"/>
  <c r="P441" i="11" s="1"/>
  <c r="P433" i="9"/>
  <c r="P433" i="10" s="1"/>
  <c r="P433" i="11" s="1"/>
  <c r="P425" i="9"/>
  <c r="P425" i="10" s="1"/>
  <c r="P425" i="11" s="1"/>
  <c r="P417" i="9"/>
  <c r="P417" i="10" s="1"/>
  <c r="P417" i="11" s="1"/>
  <c r="P409" i="9"/>
  <c r="P409" i="10" s="1"/>
  <c r="P409" i="11" s="1"/>
  <c r="P401" i="9"/>
  <c r="P401" i="10" s="1"/>
  <c r="P401" i="11" s="1"/>
  <c r="P393" i="9"/>
  <c r="P393" i="10" s="1"/>
  <c r="P393" i="11" s="1"/>
  <c r="P385" i="9"/>
  <c r="P385" i="10" s="1"/>
  <c r="P385" i="11" s="1"/>
  <c r="P377" i="9"/>
  <c r="P377" i="10" s="1"/>
  <c r="P377" i="11" s="1"/>
  <c r="P369" i="9"/>
  <c r="P369" i="10" s="1"/>
  <c r="P369" i="11" s="1"/>
  <c r="P361" i="9"/>
  <c r="P361" i="10" s="1"/>
  <c r="P361" i="11" s="1"/>
  <c r="P353" i="9"/>
  <c r="P353" i="10" s="1"/>
  <c r="P353" i="11" s="1"/>
  <c r="P345" i="9"/>
  <c r="P345" i="10" s="1"/>
  <c r="P345" i="11" s="1"/>
  <c r="P337" i="9"/>
  <c r="P337" i="10" s="1"/>
  <c r="P337" i="11" s="1"/>
  <c r="P329" i="9"/>
  <c r="P329" i="10" s="1"/>
  <c r="P329" i="11" s="1"/>
  <c r="P321" i="9"/>
  <c r="P321" i="10" s="1"/>
  <c r="P321" i="11" s="1"/>
  <c r="P313" i="9"/>
  <c r="P313" i="10" s="1"/>
  <c r="P313" i="11" s="1"/>
  <c r="P305" i="9"/>
  <c r="P305" i="10" s="1"/>
  <c r="P305" i="11" s="1"/>
  <c r="P297" i="9"/>
  <c r="P297" i="10" s="1"/>
  <c r="P297" i="11" s="1"/>
  <c r="P289" i="9"/>
  <c r="P289" i="10" s="1"/>
  <c r="P289" i="11" s="1"/>
  <c r="P281" i="9"/>
  <c r="P281" i="10" s="1"/>
  <c r="P281" i="11" s="1"/>
  <c r="P273" i="9"/>
  <c r="P273" i="10" s="1"/>
  <c r="P273" i="11" s="1"/>
  <c r="P265" i="9"/>
  <c r="P265" i="10" s="1"/>
  <c r="P265" i="11" s="1"/>
  <c r="P257" i="9"/>
  <c r="P257" i="10" s="1"/>
  <c r="P257" i="11" s="1"/>
  <c r="P249" i="9"/>
  <c r="P249" i="10" s="1"/>
  <c r="P249" i="11" s="1"/>
  <c r="P241" i="9"/>
  <c r="P241" i="10" s="1"/>
  <c r="P241" i="11" s="1"/>
  <c r="P233" i="9"/>
  <c r="P233" i="10" s="1"/>
  <c r="P233" i="11" s="1"/>
  <c r="P225" i="9"/>
  <c r="P225" i="10" s="1"/>
  <c r="P225" i="11" s="1"/>
  <c r="P217" i="9"/>
  <c r="P217" i="10" s="1"/>
  <c r="P217" i="11" s="1"/>
  <c r="P209" i="9"/>
  <c r="P209" i="10" s="1"/>
  <c r="P209" i="11" s="1"/>
  <c r="P201" i="9"/>
  <c r="P201" i="10" s="1"/>
  <c r="P201" i="11" s="1"/>
  <c r="P193" i="9"/>
  <c r="P193" i="10" s="1"/>
  <c r="P193" i="11" s="1"/>
  <c r="P185" i="9"/>
  <c r="P185" i="10" s="1"/>
  <c r="P185" i="11" s="1"/>
  <c r="P177" i="9"/>
  <c r="P177" i="10" s="1"/>
  <c r="P177" i="11" s="1"/>
  <c r="P169" i="9"/>
  <c r="P169" i="10" s="1"/>
  <c r="P169" i="11" s="1"/>
  <c r="P161" i="9"/>
  <c r="P161" i="10" s="1"/>
  <c r="P161" i="11" s="1"/>
  <c r="P153" i="9"/>
  <c r="P153" i="10" s="1"/>
  <c r="P153" i="11" s="1"/>
  <c r="P145" i="9"/>
  <c r="P145" i="10" s="1"/>
  <c r="P145" i="11" s="1"/>
  <c r="P136" i="9"/>
  <c r="P136" i="10" s="1"/>
  <c r="P136" i="11" s="1"/>
  <c r="O15" i="17"/>
  <c r="O29" i="16"/>
  <c r="O28" i="16"/>
  <c r="O27" i="16"/>
  <c r="O26" i="16"/>
  <c r="O25" i="16"/>
  <c r="O24" i="16"/>
  <c r="O23" i="16"/>
  <c r="O22" i="16"/>
  <c r="O21" i="16"/>
  <c r="O20" i="16"/>
  <c r="O19" i="16"/>
  <c r="O18" i="16"/>
  <c r="O17" i="16"/>
  <c r="O16" i="16"/>
  <c r="O15" i="16"/>
  <c r="O15" i="15"/>
  <c r="O15" i="14"/>
  <c r="O15" i="13"/>
  <c r="O15" i="12"/>
  <c r="O15" i="10"/>
  <c r="O514" i="9"/>
  <c r="P514" i="9" s="1"/>
  <c r="P514" i="10" s="1"/>
  <c r="P514" i="11" s="1"/>
  <c r="O513" i="9"/>
  <c r="O512" i="9"/>
  <c r="P512" i="9" s="1"/>
  <c r="P512" i="10" s="1"/>
  <c r="P512" i="11" s="1"/>
  <c r="O511" i="9"/>
  <c r="P511" i="9" s="1"/>
  <c r="P511" i="10" s="1"/>
  <c r="P511" i="11" s="1"/>
  <c r="O510" i="9"/>
  <c r="P510" i="9" s="1"/>
  <c r="P510" i="10" s="1"/>
  <c r="P510" i="11" s="1"/>
  <c r="O509" i="9"/>
  <c r="P509" i="9" s="1"/>
  <c r="P509" i="10" s="1"/>
  <c r="P509" i="11" s="1"/>
  <c r="O508" i="9"/>
  <c r="P508" i="9" s="1"/>
  <c r="P508" i="10" s="1"/>
  <c r="P508" i="11" s="1"/>
  <c r="O507" i="9"/>
  <c r="P507" i="9" s="1"/>
  <c r="P507" i="10" s="1"/>
  <c r="P507" i="11" s="1"/>
  <c r="O506" i="9"/>
  <c r="P506" i="9" s="1"/>
  <c r="P506" i="10" s="1"/>
  <c r="P506" i="11" s="1"/>
  <c r="O505" i="9"/>
  <c r="O504" i="9"/>
  <c r="P504" i="9" s="1"/>
  <c r="P504" i="10" s="1"/>
  <c r="P504" i="11" s="1"/>
  <c r="O503" i="9"/>
  <c r="P503" i="9" s="1"/>
  <c r="P503" i="10" s="1"/>
  <c r="P503" i="11" s="1"/>
  <c r="O502" i="9"/>
  <c r="P502" i="9" s="1"/>
  <c r="P502" i="10" s="1"/>
  <c r="P502" i="11" s="1"/>
  <c r="O501" i="9"/>
  <c r="P501" i="9" s="1"/>
  <c r="P501" i="10" s="1"/>
  <c r="P501" i="11" s="1"/>
  <c r="O500" i="9"/>
  <c r="P500" i="9" s="1"/>
  <c r="P500" i="10" s="1"/>
  <c r="P500" i="11" s="1"/>
  <c r="O499" i="9"/>
  <c r="P499" i="9" s="1"/>
  <c r="P499" i="10" s="1"/>
  <c r="P499" i="11" s="1"/>
  <c r="O498" i="9"/>
  <c r="P498" i="9" s="1"/>
  <c r="P498" i="10" s="1"/>
  <c r="P498" i="11" s="1"/>
  <c r="O497" i="9"/>
  <c r="O496" i="9"/>
  <c r="P496" i="9" s="1"/>
  <c r="P496" i="10" s="1"/>
  <c r="P496" i="11" s="1"/>
  <c r="O495" i="9"/>
  <c r="P495" i="9" s="1"/>
  <c r="P495" i="10" s="1"/>
  <c r="P495" i="11" s="1"/>
  <c r="O494" i="9"/>
  <c r="P494" i="9" s="1"/>
  <c r="P494" i="10" s="1"/>
  <c r="P494" i="11" s="1"/>
  <c r="O493" i="9"/>
  <c r="P493" i="9" s="1"/>
  <c r="P493" i="10" s="1"/>
  <c r="P493" i="11" s="1"/>
  <c r="O492" i="9"/>
  <c r="P492" i="9" s="1"/>
  <c r="P492" i="10" s="1"/>
  <c r="P492" i="11" s="1"/>
  <c r="O491" i="9"/>
  <c r="P491" i="9" s="1"/>
  <c r="P491" i="10" s="1"/>
  <c r="P491" i="11" s="1"/>
  <c r="O490" i="9"/>
  <c r="P490" i="9" s="1"/>
  <c r="P490" i="10" s="1"/>
  <c r="P490" i="11" s="1"/>
  <c r="O489" i="9"/>
  <c r="O488" i="9"/>
  <c r="P488" i="9" s="1"/>
  <c r="P488" i="10" s="1"/>
  <c r="P488" i="11" s="1"/>
  <c r="O487" i="9"/>
  <c r="P487" i="9" s="1"/>
  <c r="P487" i="10" s="1"/>
  <c r="P487" i="11" s="1"/>
  <c r="O486" i="9"/>
  <c r="P486" i="9" s="1"/>
  <c r="P486" i="10" s="1"/>
  <c r="P486" i="11" s="1"/>
  <c r="O485" i="9"/>
  <c r="P485" i="9" s="1"/>
  <c r="P485" i="10" s="1"/>
  <c r="P485" i="11" s="1"/>
  <c r="O484" i="9"/>
  <c r="P484" i="9" s="1"/>
  <c r="P484" i="10" s="1"/>
  <c r="P484" i="11" s="1"/>
  <c r="O483" i="9"/>
  <c r="P483" i="9" s="1"/>
  <c r="P483" i="10" s="1"/>
  <c r="P483" i="11" s="1"/>
  <c r="O482" i="9"/>
  <c r="P482" i="9" s="1"/>
  <c r="P482" i="10" s="1"/>
  <c r="P482" i="11" s="1"/>
  <c r="O481" i="9"/>
  <c r="O480" i="9"/>
  <c r="P480" i="9" s="1"/>
  <c r="P480" i="10" s="1"/>
  <c r="P480" i="11" s="1"/>
  <c r="O479" i="9"/>
  <c r="P479" i="9" s="1"/>
  <c r="P479" i="10" s="1"/>
  <c r="P479" i="11" s="1"/>
  <c r="O478" i="9"/>
  <c r="P478" i="9" s="1"/>
  <c r="P478" i="10" s="1"/>
  <c r="P478" i="11" s="1"/>
  <c r="O477" i="9"/>
  <c r="P477" i="9" s="1"/>
  <c r="P477" i="10" s="1"/>
  <c r="P477" i="11" s="1"/>
  <c r="O476" i="9"/>
  <c r="P476" i="9" s="1"/>
  <c r="P476" i="10" s="1"/>
  <c r="P476" i="11" s="1"/>
  <c r="O475" i="9"/>
  <c r="P475" i="9" s="1"/>
  <c r="P475" i="10" s="1"/>
  <c r="P475" i="11" s="1"/>
  <c r="O474" i="9"/>
  <c r="P474" i="9" s="1"/>
  <c r="P474" i="10" s="1"/>
  <c r="P474" i="11" s="1"/>
  <c r="O473" i="9"/>
  <c r="O472" i="9"/>
  <c r="P472" i="9" s="1"/>
  <c r="P472" i="10" s="1"/>
  <c r="P472" i="11" s="1"/>
  <c r="O471" i="9"/>
  <c r="P471" i="9" s="1"/>
  <c r="P471" i="10" s="1"/>
  <c r="P471" i="11" s="1"/>
  <c r="O470" i="9"/>
  <c r="P470" i="9" s="1"/>
  <c r="P470" i="10" s="1"/>
  <c r="P470" i="11" s="1"/>
  <c r="O469" i="9"/>
  <c r="P469" i="9" s="1"/>
  <c r="P469" i="10" s="1"/>
  <c r="P469" i="11" s="1"/>
  <c r="O468" i="9"/>
  <c r="P468" i="9" s="1"/>
  <c r="P468" i="10" s="1"/>
  <c r="P468" i="11" s="1"/>
  <c r="O467" i="9"/>
  <c r="P467" i="9" s="1"/>
  <c r="P467" i="10" s="1"/>
  <c r="P467" i="11" s="1"/>
  <c r="O466" i="9"/>
  <c r="P466" i="9" s="1"/>
  <c r="P466" i="10" s="1"/>
  <c r="P466" i="11" s="1"/>
  <c r="O465" i="9"/>
  <c r="O464" i="9"/>
  <c r="P464" i="9" s="1"/>
  <c r="P464" i="10" s="1"/>
  <c r="P464" i="11" s="1"/>
  <c r="O463" i="9"/>
  <c r="P463" i="9" s="1"/>
  <c r="P463" i="10" s="1"/>
  <c r="P463" i="11" s="1"/>
  <c r="O462" i="9"/>
  <c r="P462" i="9" s="1"/>
  <c r="P462" i="10" s="1"/>
  <c r="P462" i="11" s="1"/>
  <c r="O461" i="9"/>
  <c r="P461" i="9" s="1"/>
  <c r="P461" i="10" s="1"/>
  <c r="P461" i="11" s="1"/>
  <c r="O460" i="9"/>
  <c r="P460" i="9" s="1"/>
  <c r="P460" i="10" s="1"/>
  <c r="P460" i="11" s="1"/>
  <c r="O459" i="9"/>
  <c r="P459" i="9" s="1"/>
  <c r="P459" i="10" s="1"/>
  <c r="P459" i="11" s="1"/>
  <c r="O458" i="9"/>
  <c r="P458" i="9" s="1"/>
  <c r="P458" i="10" s="1"/>
  <c r="P458" i="11" s="1"/>
  <c r="O457" i="9"/>
  <c r="O456" i="9"/>
  <c r="P456" i="9" s="1"/>
  <c r="P456" i="10" s="1"/>
  <c r="P456" i="11" s="1"/>
  <c r="O455" i="9"/>
  <c r="P455" i="9" s="1"/>
  <c r="P455" i="10" s="1"/>
  <c r="P455" i="11" s="1"/>
  <c r="O454" i="9"/>
  <c r="P454" i="9" s="1"/>
  <c r="P454" i="10" s="1"/>
  <c r="P454" i="11" s="1"/>
  <c r="O453" i="9"/>
  <c r="P453" i="9" s="1"/>
  <c r="P453" i="10" s="1"/>
  <c r="P453" i="11" s="1"/>
  <c r="O452" i="9"/>
  <c r="P452" i="9" s="1"/>
  <c r="P452" i="10" s="1"/>
  <c r="P452" i="11" s="1"/>
  <c r="O451" i="9"/>
  <c r="P451" i="9" s="1"/>
  <c r="P451" i="10" s="1"/>
  <c r="P451" i="11" s="1"/>
  <c r="O450" i="9"/>
  <c r="P450" i="9" s="1"/>
  <c r="P450" i="10" s="1"/>
  <c r="P450" i="11" s="1"/>
  <c r="O449" i="9"/>
  <c r="O448" i="9"/>
  <c r="P448" i="9" s="1"/>
  <c r="P448" i="10" s="1"/>
  <c r="P448" i="11" s="1"/>
  <c r="O447" i="9"/>
  <c r="P447" i="9" s="1"/>
  <c r="P447" i="10" s="1"/>
  <c r="P447" i="11" s="1"/>
  <c r="O446" i="9"/>
  <c r="P446" i="9" s="1"/>
  <c r="P446" i="10" s="1"/>
  <c r="P446" i="11" s="1"/>
  <c r="O445" i="9"/>
  <c r="P445" i="9" s="1"/>
  <c r="P445" i="10" s="1"/>
  <c r="P445" i="11" s="1"/>
  <c r="O444" i="9"/>
  <c r="P444" i="9" s="1"/>
  <c r="P444" i="10" s="1"/>
  <c r="P444" i="11" s="1"/>
  <c r="O443" i="9"/>
  <c r="P443" i="9" s="1"/>
  <c r="P443" i="10" s="1"/>
  <c r="P443" i="11" s="1"/>
  <c r="O442" i="9"/>
  <c r="P442" i="9" s="1"/>
  <c r="P442" i="10" s="1"/>
  <c r="P442" i="11" s="1"/>
  <c r="O441" i="9"/>
  <c r="O440" i="9"/>
  <c r="P440" i="9" s="1"/>
  <c r="P440" i="10" s="1"/>
  <c r="P440" i="11" s="1"/>
  <c r="O439" i="9"/>
  <c r="P439" i="9" s="1"/>
  <c r="P439" i="10" s="1"/>
  <c r="P439" i="11" s="1"/>
  <c r="O438" i="9"/>
  <c r="P438" i="9" s="1"/>
  <c r="P438" i="10" s="1"/>
  <c r="P438" i="11" s="1"/>
  <c r="O437" i="9"/>
  <c r="P437" i="9" s="1"/>
  <c r="P437" i="10" s="1"/>
  <c r="P437" i="11" s="1"/>
  <c r="O436" i="9"/>
  <c r="P436" i="9" s="1"/>
  <c r="P436" i="10" s="1"/>
  <c r="P436" i="11" s="1"/>
  <c r="O435" i="9"/>
  <c r="P435" i="9" s="1"/>
  <c r="P435" i="10" s="1"/>
  <c r="P435" i="11" s="1"/>
  <c r="O434" i="9"/>
  <c r="P434" i="9" s="1"/>
  <c r="P434" i="10" s="1"/>
  <c r="P434" i="11" s="1"/>
  <c r="O433" i="9"/>
  <c r="O432" i="9"/>
  <c r="P432" i="9" s="1"/>
  <c r="P432" i="10" s="1"/>
  <c r="P432" i="11" s="1"/>
  <c r="O431" i="9"/>
  <c r="P431" i="9" s="1"/>
  <c r="P431" i="10" s="1"/>
  <c r="P431" i="11" s="1"/>
  <c r="O430" i="9"/>
  <c r="P430" i="9" s="1"/>
  <c r="P430" i="10" s="1"/>
  <c r="P430" i="11" s="1"/>
  <c r="O429" i="9"/>
  <c r="P429" i="9" s="1"/>
  <c r="P429" i="10" s="1"/>
  <c r="P429" i="11" s="1"/>
  <c r="O428" i="9"/>
  <c r="P428" i="9" s="1"/>
  <c r="P428" i="10" s="1"/>
  <c r="P428" i="11" s="1"/>
  <c r="O427" i="9"/>
  <c r="P427" i="9" s="1"/>
  <c r="P427" i="10" s="1"/>
  <c r="P427" i="11" s="1"/>
  <c r="O426" i="9"/>
  <c r="P426" i="9" s="1"/>
  <c r="P426" i="10" s="1"/>
  <c r="P426" i="11" s="1"/>
  <c r="O425" i="9"/>
  <c r="O424" i="9"/>
  <c r="P424" i="9" s="1"/>
  <c r="P424" i="10" s="1"/>
  <c r="P424" i="11" s="1"/>
  <c r="O423" i="9"/>
  <c r="P423" i="9" s="1"/>
  <c r="P423" i="10" s="1"/>
  <c r="P423" i="11" s="1"/>
  <c r="O422" i="9"/>
  <c r="P422" i="9" s="1"/>
  <c r="P422" i="10" s="1"/>
  <c r="P422" i="11" s="1"/>
  <c r="O421" i="9"/>
  <c r="P421" i="9" s="1"/>
  <c r="P421" i="10" s="1"/>
  <c r="P421" i="11" s="1"/>
  <c r="O420" i="9"/>
  <c r="P420" i="9" s="1"/>
  <c r="P420" i="10" s="1"/>
  <c r="P420" i="11" s="1"/>
  <c r="O419" i="9"/>
  <c r="P419" i="9" s="1"/>
  <c r="P419" i="10" s="1"/>
  <c r="P419" i="11" s="1"/>
  <c r="O418" i="9"/>
  <c r="P418" i="9" s="1"/>
  <c r="P418" i="10" s="1"/>
  <c r="P418" i="11" s="1"/>
  <c r="O417" i="9"/>
  <c r="O416" i="9"/>
  <c r="P416" i="9" s="1"/>
  <c r="P416" i="10" s="1"/>
  <c r="P416" i="11" s="1"/>
  <c r="O415" i="9"/>
  <c r="P415" i="9" s="1"/>
  <c r="P415" i="10" s="1"/>
  <c r="P415" i="11" s="1"/>
  <c r="O414" i="9"/>
  <c r="P414" i="9" s="1"/>
  <c r="P414" i="10" s="1"/>
  <c r="P414" i="11" s="1"/>
  <c r="O413" i="9"/>
  <c r="P413" i="9" s="1"/>
  <c r="P413" i="10" s="1"/>
  <c r="P413" i="11" s="1"/>
  <c r="O412" i="9"/>
  <c r="P412" i="9" s="1"/>
  <c r="P412" i="10" s="1"/>
  <c r="P412" i="11" s="1"/>
  <c r="O411" i="9"/>
  <c r="P411" i="9" s="1"/>
  <c r="P411" i="10" s="1"/>
  <c r="P411" i="11" s="1"/>
  <c r="O410" i="9"/>
  <c r="P410" i="9" s="1"/>
  <c r="P410" i="10" s="1"/>
  <c r="P410" i="11" s="1"/>
  <c r="O409" i="9"/>
  <c r="O408" i="9"/>
  <c r="P408" i="9" s="1"/>
  <c r="P408" i="10" s="1"/>
  <c r="P408" i="11" s="1"/>
  <c r="O407" i="9"/>
  <c r="P407" i="9" s="1"/>
  <c r="P407" i="10" s="1"/>
  <c r="P407" i="11" s="1"/>
  <c r="O406" i="9"/>
  <c r="P406" i="9" s="1"/>
  <c r="P406" i="10" s="1"/>
  <c r="P406" i="11" s="1"/>
  <c r="O405" i="9"/>
  <c r="P405" i="9" s="1"/>
  <c r="P405" i="10" s="1"/>
  <c r="P405" i="11" s="1"/>
  <c r="O404" i="9"/>
  <c r="P404" i="9" s="1"/>
  <c r="P404" i="10" s="1"/>
  <c r="P404" i="11" s="1"/>
  <c r="O403" i="9"/>
  <c r="P403" i="9" s="1"/>
  <c r="P403" i="10" s="1"/>
  <c r="P403" i="11" s="1"/>
  <c r="O402" i="9"/>
  <c r="P402" i="9" s="1"/>
  <c r="P402" i="10" s="1"/>
  <c r="P402" i="11" s="1"/>
  <c r="O401" i="9"/>
  <c r="O400" i="9"/>
  <c r="P400" i="9" s="1"/>
  <c r="P400" i="10" s="1"/>
  <c r="P400" i="11" s="1"/>
  <c r="O399" i="9"/>
  <c r="P399" i="9" s="1"/>
  <c r="P399" i="10" s="1"/>
  <c r="P399" i="11" s="1"/>
  <c r="O398" i="9"/>
  <c r="P398" i="9" s="1"/>
  <c r="P398" i="10" s="1"/>
  <c r="P398" i="11" s="1"/>
  <c r="O397" i="9"/>
  <c r="P397" i="9" s="1"/>
  <c r="P397" i="10" s="1"/>
  <c r="P397" i="11" s="1"/>
  <c r="O396" i="9"/>
  <c r="P396" i="9" s="1"/>
  <c r="P396" i="10" s="1"/>
  <c r="P396" i="11" s="1"/>
  <c r="O395" i="9"/>
  <c r="P395" i="9" s="1"/>
  <c r="P395" i="10" s="1"/>
  <c r="P395" i="11" s="1"/>
  <c r="O394" i="9"/>
  <c r="P394" i="9" s="1"/>
  <c r="P394" i="10" s="1"/>
  <c r="P394" i="11" s="1"/>
  <c r="O393" i="9"/>
  <c r="O392" i="9"/>
  <c r="P392" i="9" s="1"/>
  <c r="P392" i="10" s="1"/>
  <c r="P392" i="11" s="1"/>
  <c r="O391" i="9"/>
  <c r="P391" i="9" s="1"/>
  <c r="P391" i="10" s="1"/>
  <c r="P391" i="11" s="1"/>
  <c r="O390" i="9"/>
  <c r="P390" i="9" s="1"/>
  <c r="P390" i="10" s="1"/>
  <c r="P390" i="11" s="1"/>
  <c r="O389" i="9"/>
  <c r="P389" i="9" s="1"/>
  <c r="P389" i="10" s="1"/>
  <c r="P389" i="11" s="1"/>
  <c r="O388" i="9"/>
  <c r="P388" i="9" s="1"/>
  <c r="P388" i="10" s="1"/>
  <c r="P388" i="11" s="1"/>
  <c r="O387" i="9"/>
  <c r="P387" i="9" s="1"/>
  <c r="P387" i="10" s="1"/>
  <c r="P387" i="11" s="1"/>
  <c r="O386" i="9"/>
  <c r="P386" i="9" s="1"/>
  <c r="P386" i="10" s="1"/>
  <c r="P386" i="11" s="1"/>
  <c r="O385" i="9"/>
  <c r="O384" i="9"/>
  <c r="P384" i="9" s="1"/>
  <c r="P384" i="10" s="1"/>
  <c r="P384" i="11" s="1"/>
  <c r="O383" i="9"/>
  <c r="P383" i="9" s="1"/>
  <c r="P383" i="10" s="1"/>
  <c r="P383" i="11" s="1"/>
  <c r="O382" i="9"/>
  <c r="P382" i="9" s="1"/>
  <c r="P382" i="10" s="1"/>
  <c r="P382" i="11" s="1"/>
  <c r="O381" i="9"/>
  <c r="P381" i="9" s="1"/>
  <c r="P381" i="10" s="1"/>
  <c r="P381" i="11" s="1"/>
  <c r="O380" i="9"/>
  <c r="P380" i="9" s="1"/>
  <c r="P380" i="10" s="1"/>
  <c r="P380" i="11" s="1"/>
  <c r="O379" i="9"/>
  <c r="P379" i="9" s="1"/>
  <c r="P379" i="10" s="1"/>
  <c r="P379" i="11" s="1"/>
  <c r="O378" i="9"/>
  <c r="P378" i="9" s="1"/>
  <c r="P378" i="10" s="1"/>
  <c r="P378" i="11" s="1"/>
  <c r="O377" i="9"/>
  <c r="O376" i="9"/>
  <c r="P376" i="9" s="1"/>
  <c r="P376" i="10" s="1"/>
  <c r="P376" i="11" s="1"/>
  <c r="O375" i="9"/>
  <c r="P375" i="9" s="1"/>
  <c r="P375" i="10" s="1"/>
  <c r="P375" i="11" s="1"/>
  <c r="O374" i="9"/>
  <c r="P374" i="9" s="1"/>
  <c r="P374" i="10" s="1"/>
  <c r="P374" i="11" s="1"/>
  <c r="O373" i="9"/>
  <c r="P373" i="9" s="1"/>
  <c r="P373" i="10" s="1"/>
  <c r="P373" i="11" s="1"/>
  <c r="O372" i="9"/>
  <c r="P372" i="9" s="1"/>
  <c r="P372" i="10" s="1"/>
  <c r="P372" i="11" s="1"/>
  <c r="O371" i="9"/>
  <c r="P371" i="9" s="1"/>
  <c r="P371" i="10" s="1"/>
  <c r="P371" i="11" s="1"/>
  <c r="O370" i="9"/>
  <c r="P370" i="9" s="1"/>
  <c r="P370" i="10" s="1"/>
  <c r="P370" i="11" s="1"/>
  <c r="O369" i="9"/>
  <c r="O368" i="9"/>
  <c r="P368" i="9" s="1"/>
  <c r="P368" i="10" s="1"/>
  <c r="P368" i="11" s="1"/>
  <c r="O367" i="9"/>
  <c r="P367" i="9" s="1"/>
  <c r="P367" i="10" s="1"/>
  <c r="P367" i="11" s="1"/>
  <c r="O366" i="9"/>
  <c r="P366" i="9" s="1"/>
  <c r="P366" i="10" s="1"/>
  <c r="P366" i="11" s="1"/>
  <c r="O365" i="9"/>
  <c r="P365" i="9" s="1"/>
  <c r="P365" i="10" s="1"/>
  <c r="P365" i="11" s="1"/>
  <c r="O364" i="9"/>
  <c r="P364" i="9" s="1"/>
  <c r="P364" i="10" s="1"/>
  <c r="P364" i="11" s="1"/>
  <c r="O363" i="9"/>
  <c r="P363" i="9" s="1"/>
  <c r="P363" i="10" s="1"/>
  <c r="P363" i="11" s="1"/>
  <c r="O362" i="9"/>
  <c r="P362" i="9" s="1"/>
  <c r="P362" i="10" s="1"/>
  <c r="P362" i="11" s="1"/>
  <c r="O361" i="9"/>
  <c r="O360" i="9"/>
  <c r="P360" i="9" s="1"/>
  <c r="P360" i="10" s="1"/>
  <c r="P360" i="11" s="1"/>
  <c r="O359" i="9"/>
  <c r="P359" i="9" s="1"/>
  <c r="P359" i="10" s="1"/>
  <c r="P359" i="11" s="1"/>
  <c r="O358" i="9"/>
  <c r="P358" i="9" s="1"/>
  <c r="P358" i="10" s="1"/>
  <c r="P358" i="11" s="1"/>
  <c r="O357" i="9"/>
  <c r="P357" i="9" s="1"/>
  <c r="P357" i="10" s="1"/>
  <c r="P357" i="11" s="1"/>
  <c r="O356" i="9"/>
  <c r="P356" i="9" s="1"/>
  <c r="P356" i="10" s="1"/>
  <c r="P356" i="11" s="1"/>
  <c r="O355" i="9"/>
  <c r="P355" i="9" s="1"/>
  <c r="P355" i="10" s="1"/>
  <c r="P355" i="11" s="1"/>
  <c r="O354" i="9"/>
  <c r="P354" i="9" s="1"/>
  <c r="P354" i="10" s="1"/>
  <c r="P354" i="11" s="1"/>
  <c r="O353" i="9"/>
  <c r="O352" i="9"/>
  <c r="P352" i="9" s="1"/>
  <c r="P352" i="10" s="1"/>
  <c r="P352" i="11" s="1"/>
  <c r="O351" i="9"/>
  <c r="P351" i="9" s="1"/>
  <c r="P351" i="10" s="1"/>
  <c r="P351" i="11" s="1"/>
  <c r="O350" i="9"/>
  <c r="P350" i="9" s="1"/>
  <c r="P350" i="10" s="1"/>
  <c r="P350" i="11" s="1"/>
  <c r="O349" i="9"/>
  <c r="P349" i="9" s="1"/>
  <c r="P349" i="10" s="1"/>
  <c r="P349" i="11" s="1"/>
  <c r="O348" i="9"/>
  <c r="P348" i="9" s="1"/>
  <c r="P348" i="10" s="1"/>
  <c r="P348" i="11" s="1"/>
  <c r="O347" i="9"/>
  <c r="P347" i="9" s="1"/>
  <c r="P347" i="10" s="1"/>
  <c r="P347" i="11" s="1"/>
  <c r="O346" i="9"/>
  <c r="P346" i="9" s="1"/>
  <c r="P346" i="10" s="1"/>
  <c r="P346" i="11" s="1"/>
  <c r="O345" i="9"/>
  <c r="O344" i="9"/>
  <c r="P344" i="9" s="1"/>
  <c r="P344" i="10" s="1"/>
  <c r="P344" i="11" s="1"/>
  <c r="O343" i="9"/>
  <c r="P343" i="9" s="1"/>
  <c r="P343" i="10" s="1"/>
  <c r="P343" i="11" s="1"/>
  <c r="O342" i="9"/>
  <c r="P342" i="9" s="1"/>
  <c r="P342" i="10" s="1"/>
  <c r="P342" i="11" s="1"/>
  <c r="O341" i="9"/>
  <c r="P341" i="9" s="1"/>
  <c r="P341" i="10" s="1"/>
  <c r="P341" i="11" s="1"/>
  <c r="O340" i="9"/>
  <c r="P340" i="9" s="1"/>
  <c r="P340" i="10" s="1"/>
  <c r="P340" i="11" s="1"/>
  <c r="O339" i="9"/>
  <c r="P339" i="9" s="1"/>
  <c r="P339" i="10" s="1"/>
  <c r="P339" i="11" s="1"/>
  <c r="O338" i="9"/>
  <c r="P338" i="9" s="1"/>
  <c r="P338" i="10" s="1"/>
  <c r="P338" i="11" s="1"/>
  <c r="O337" i="9"/>
  <c r="O336" i="9"/>
  <c r="P336" i="9" s="1"/>
  <c r="P336" i="10" s="1"/>
  <c r="P336" i="11" s="1"/>
  <c r="O335" i="9"/>
  <c r="P335" i="9" s="1"/>
  <c r="P335" i="10" s="1"/>
  <c r="P335" i="11" s="1"/>
  <c r="O334" i="9"/>
  <c r="P334" i="9" s="1"/>
  <c r="P334" i="10" s="1"/>
  <c r="P334" i="11" s="1"/>
  <c r="O333" i="9"/>
  <c r="P333" i="9" s="1"/>
  <c r="P333" i="10" s="1"/>
  <c r="P333" i="11" s="1"/>
  <c r="O332" i="9"/>
  <c r="P332" i="9" s="1"/>
  <c r="P332" i="10" s="1"/>
  <c r="P332" i="11" s="1"/>
  <c r="O331" i="9"/>
  <c r="P331" i="9" s="1"/>
  <c r="P331" i="10" s="1"/>
  <c r="P331" i="11" s="1"/>
  <c r="O330" i="9"/>
  <c r="P330" i="9" s="1"/>
  <c r="P330" i="10" s="1"/>
  <c r="P330" i="11" s="1"/>
  <c r="O329" i="9"/>
  <c r="O328" i="9"/>
  <c r="P328" i="9" s="1"/>
  <c r="P328" i="10" s="1"/>
  <c r="P328" i="11" s="1"/>
  <c r="O327" i="9"/>
  <c r="P327" i="9" s="1"/>
  <c r="P327" i="10" s="1"/>
  <c r="P327" i="11" s="1"/>
  <c r="O326" i="9"/>
  <c r="P326" i="9" s="1"/>
  <c r="P326" i="10" s="1"/>
  <c r="P326" i="11" s="1"/>
  <c r="O325" i="9"/>
  <c r="P325" i="9" s="1"/>
  <c r="P325" i="10" s="1"/>
  <c r="P325" i="11" s="1"/>
  <c r="O324" i="9"/>
  <c r="P324" i="9" s="1"/>
  <c r="P324" i="10" s="1"/>
  <c r="P324" i="11" s="1"/>
  <c r="O323" i="9"/>
  <c r="P323" i="9" s="1"/>
  <c r="P323" i="10" s="1"/>
  <c r="P323" i="11" s="1"/>
  <c r="O322" i="9"/>
  <c r="P322" i="9" s="1"/>
  <c r="P322" i="10" s="1"/>
  <c r="P322" i="11" s="1"/>
  <c r="O321" i="9"/>
  <c r="O320" i="9"/>
  <c r="P320" i="9" s="1"/>
  <c r="P320" i="10" s="1"/>
  <c r="P320" i="11" s="1"/>
  <c r="O319" i="9"/>
  <c r="P319" i="9" s="1"/>
  <c r="P319" i="10" s="1"/>
  <c r="P319" i="11" s="1"/>
  <c r="O318" i="9"/>
  <c r="P318" i="9" s="1"/>
  <c r="P318" i="10" s="1"/>
  <c r="P318" i="11" s="1"/>
  <c r="O317" i="9"/>
  <c r="P317" i="9" s="1"/>
  <c r="P317" i="10" s="1"/>
  <c r="P317" i="11" s="1"/>
  <c r="O316" i="9"/>
  <c r="P316" i="9" s="1"/>
  <c r="P316" i="10" s="1"/>
  <c r="P316" i="11" s="1"/>
  <c r="O315" i="9"/>
  <c r="P315" i="9" s="1"/>
  <c r="P315" i="10" s="1"/>
  <c r="P315" i="11" s="1"/>
  <c r="O314" i="9"/>
  <c r="P314" i="9" s="1"/>
  <c r="P314" i="10" s="1"/>
  <c r="P314" i="11" s="1"/>
  <c r="O313" i="9"/>
  <c r="O312" i="9"/>
  <c r="P312" i="9" s="1"/>
  <c r="P312" i="10" s="1"/>
  <c r="P312" i="11" s="1"/>
  <c r="O311" i="9"/>
  <c r="P311" i="9" s="1"/>
  <c r="P311" i="10" s="1"/>
  <c r="P311" i="11" s="1"/>
  <c r="O310" i="9"/>
  <c r="P310" i="9" s="1"/>
  <c r="P310" i="10" s="1"/>
  <c r="P310" i="11" s="1"/>
  <c r="O309" i="9"/>
  <c r="P309" i="9" s="1"/>
  <c r="P309" i="10" s="1"/>
  <c r="P309" i="11" s="1"/>
  <c r="O308" i="9"/>
  <c r="P308" i="9" s="1"/>
  <c r="P308" i="10" s="1"/>
  <c r="P308" i="11" s="1"/>
  <c r="O307" i="9"/>
  <c r="P307" i="9" s="1"/>
  <c r="P307" i="10" s="1"/>
  <c r="P307" i="11" s="1"/>
  <c r="O306" i="9"/>
  <c r="P306" i="9" s="1"/>
  <c r="P306" i="10" s="1"/>
  <c r="P306" i="11" s="1"/>
  <c r="O305" i="9"/>
  <c r="O304" i="9"/>
  <c r="P304" i="9" s="1"/>
  <c r="P304" i="10" s="1"/>
  <c r="P304" i="11" s="1"/>
  <c r="O303" i="9"/>
  <c r="P303" i="9" s="1"/>
  <c r="P303" i="10" s="1"/>
  <c r="P303" i="11" s="1"/>
  <c r="O302" i="9"/>
  <c r="P302" i="9" s="1"/>
  <c r="P302" i="10" s="1"/>
  <c r="P302" i="11" s="1"/>
  <c r="O301" i="9"/>
  <c r="P301" i="9" s="1"/>
  <c r="P301" i="10" s="1"/>
  <c r="P301" i="11" s="1"/>
  <c r="O300" i="9"/>
  <c r="P300" i="9" s="1"/>
  <c r="P300" i="10" s="1"/>
  <c r="P300" i="11" s="1"/>
  <c r="O299" i="9"/>
  <c r="P299" i="9" s="1"/>
  <c r="P299" i="10" s="1"/>
  <c r="P299" i="11" s="1"/>
  <c r="O298" i="9"/>
  <c r="P298" i="9" s="1"/>
  <c r="P298" i="10" s="1"/>
  <c r="P298" i="11" s="1"/>
  <c r="O297" i="9"/>
  <c r="O296" i="9"/>
  <c r="P296" i="9" s="1"/>
  <c r="P296" i="10" s="1"/>
  <c r="P296" i="11" s="1"/>
  <c r="O295" i="9"/>
  <c r="P295" i="9" s="1"/>
  <c r="P295" i="10" s="1"/>
  <c r="P295" i="11" s="1"/>
  <c r="O294" i="9"/>
  <c r="P294" i="9" s="1"/>
  <c r="P294" i="10" s="1"/>
  <c r="P294" i="11" s="1"/>
  <c r="O293" i="9"/>
  <c r="P293" i="9" s="1"/>
  <c r="P293" i="10" s="1"/>
  <c r="P293" i="11" s="1"/>
  <c r="O292" i="9"/>
  <c r="P292" i="9" s="1"/>
  <c r="P292" i="10" s="1"/>
  <c r="P292" i="11" s="1"/>
  <c r="O291" i="9"/>
  <c r="P291" i="9" s="1"/>
  <c r="P291" i="10" s="1"/>
  <c r="P291" i="11" s="1"/>
  <c r="O290" i="9"/>
  <c r="P290" i="9" s="1"/>
  <c r="P290" i="10" s="1"/>
  <c r="P290" i="11" s="1"/>
  <c r="O289" i="9"/>
  <c r="O288" i="9"/>
  <c r="P288" i="9" s="1"/>
  <c r="P288" i="10" s="1"/>
  <c r="P288" i="11" s="1"/>
  <c r="O287" i="9"/>
  <c r="P287" i="9" s="1"/>
  <c r="P287" i="10" s="1"/>
  <c r="P287" i="11" s="1"/>
  <c r="O286" i="9"/>
  <c r="P286" i="9" s="1"/>
  <c r="P286" i="10" s="1"/>
  <c r="P286" i="11" s="1"/>
  <c r="O285" i="9"/>
  <c r="P285" i="9" s="1"/>
  <c r="P285" i="10" s="1"/>
  <c r="P285" i="11" s="1"/>
  <c r="O284" i="9"/>
  <c r="P284" i="9" s="1"/>
  <c r="P284" i="10" s="1"/>
  <c r="P284" i="11" s="1"/>
  <c r="O283" i="9"/>
  <c r="P283" i="9" s="1"/>
  <c r="P283" i="10" s="1"/>
  <c r="P283" i="11" s="1"/>
  <c r="O282" i="9"/>
  <c r="P282" i="9" s="1"/>
  <c r="P282" i="10" s="1"/>
  <c r="P282" i="11" s="1"/>
  <c r="O281" i="9"/>
  <c r="O280" i="9"/>
  <c r="P280" i="9" s="1"/>
  <c r="P280" i="10" s="1"/>
  <c r="P280" i="11" s="1"/>
  <c r="O279" i="9"/>
  <c r="P279" i="9" s="1"/>
  <c r="P279" i="10" s="1"/>
  <c r="P279" i="11" s="1"/>
  <c r="O278" i="9"/>
  <c r="P278" i="9" s="1"/>
  <c r="P278" i="10" s="1"/>
  <c r="P278" i="11" s="1"/>
  <c r="O277" i="9"/>
  <c r="P277" i="9" s="1"/>
  <c r="P277" i="10" s="1"/>
  <c r="P277" i="11" s="1"/>
  <c r="O276" i="9"/>
  <c r="P276" i="9" s="1"/>
  <c r="P276" i="10" s="1"/>
  <c r="P276" i="11" s="1"/>
  <c r="O275" i="9"/>
  <c r="P275" i="9" s="1"/>
  <c r="P275" i="10" s="1"/>
  <c r="P275" i="11" s="1"/>
  <c r="O274" i="9"/>
  <c r="P274" i="9" s="1"/>
  <c r="P274" i="10" s="1"/>
  <c r="P274" i="11" s="1"/>
  <c r="O273" i="9"/>
  <c r="O272" i="9"/>
  <c r="P272" i="9" s="1"/>
  <c r="P272" i="10" s="1"/>
  <c r="P272" i="11" s="1"/>
  <c r="O271" i="9"/>
  <c r="P271" i="9" s="1"/>
  <c r="P271" i="10" s="1"/>
  <c r="P271" i="11" s="1"/>
  <c r="O270" i="9"/>
  <c r="P270" i="9" s="1"/>
  <c r="P270" i="10" s="1"/>
  <c r="P270" i="11" s="1"/>
  <c r="O269" i="9"/>
  <c r="P269" i="9" s="1"/>
  <c r="P269" i="10" s="1"/>
  <c r="P269" i="11" s="1"/>
  <c r="O268" i="9"/>
  <c r="P268" i="9" s="1"/>
  <c r="P268" i="10" s="1"/>
  <c r="P268" i="11" s="1"/>
  <c r="O267" i="9"/>
  <c r="P267" i="9" s="1"/>
  <c r="P267" i="10" s="1"/>
  <c r="P267" i="11" s="1"/>
  <c r="O266" i="9"/>
  <c r="P266" i="9" s="1"/>
  <c r="P266" i="10" s="1"/>
  <c r="P266" i="11" s="1"/>
  <c r="O265" i="9"/>
  <c r="O264" i="9"/>
  <c r="P264" i="9" s="1"/>
  <c r="P264" i="10" s="1"/>
  <c r="P264" i="11" s="1"/>
  <c r="O263" i="9"/>
  <c r="P263" i="9" s="1"/>
  <c r="P263" i="10" s="1"/>
  <c r="P263" i="11" s="1"/>
  <c r="O262" i="9"/>
  <c r="P262" i="9" s="1"/>
  <c r="P262" i="10" s="1"/>
  <c r="P262" i="11" s="1"/>
  <c r="O261" i="9"/>
  <c r="P261" i="9" s="1"/>
  <c r="P261" i="10" s="1"/>
  <c r="P261" i="11" s="1"/>
  <c r="O260" i="9"/>
  <c r="P260" i="9" s="1"/>
  <c r="P260" i="10" s="1"/>
  <c r="P260" i="11" s="1"/>
  <c r="O259" i="9"/>
  <c r="P259" i="9" s="1"/>
  <c r="P259" i="10" s="1"/>
  <c r="P259" i="11" s="1"/>
  <c r="O258" i="9"/>
  <c r="P258" i="9" s="1"/>
  <c r="P258" i="10" s="1"/>
  <c r="P258" i="11" s="1"/>
  <c r="O257" i="9"/>
  <c r="O256" i="9"/>
  <c r="P256" i="9" s="1"/>
  <c r="P256" i="10" s="1"/>
  <c r="P256" i="11" s="1"/>
  <c r="O255" i="9"/>
  <c r="P255" i="9" s="1"/>
  <c r="P255" i="10" s="1"/>
  <c r="P255" i="11" s="1"/>
  <c r="O254" i="9"/>
  <c r="P254" i="9" s="1"/>
  <c r="P254" i="10" s="1"/>
  <c r="P254" i="11" s="1"/>
  <c r="O253" i="9"/>
  <c r="P253" i="9" s="1"/>
  <c r="P253" i="10" s="1"/>
  <c r="P253" i="11" s="1"/>
  <c r="O252" i="9"/>
  <c r="P252" i="9" s="1"/>
  <c r="P252" i="10" s="1"/>
  <c r="P252" i="11" s="1"/>
  <c r="O251" i="9"/>
  <c r="P251" i="9" s="1"/>
  <c r="P251" i="10" s="1"/>
  <c r="P251" i="11" s="1"/>
  <c r="O250" i="9"/>
  <c r="P250" i="9" s="1"/>
  <c r="P250" i="10" s="1"/>
  <c r="P250" i="11" s="1"/>
  <c r="O249" i="9"/>
  <c r="O248" i="9"/>
  <c r="P248" i="9" s="1"/>
  <c r="P248" i="10" s="1"/>
  <c r="P248" i="11" s="1"/>
  <c r="O247" i="9"/>
  <c r="P247" i="9" s="1"/>
  <c r="P247" i="10" s="1"/>
  <c r="P247" i="11" s="1"/>
  <c r="O246" i="9"/>
  <c r="P246" i="9" s="1"/>
  <c r="P246" i="10" s="1"/>
  <c r="P246" i="11" s="1"/>
  <c r="O245" i="9"/>
  <c r="P245" i="9" s="1"/>
  <c r="P245" i="10" s="1"/>
  <c r="P245" i="11" s="1"/>
  <c r="O244" i="9"/>
  <c r="P244" i="9" s="1"/>
  <c r="P244" i="10" s="1"/>
  <c r="P244" i="11" s="1"/>
  <c r="O243" i="9"/>
  <c r="P243" i="9" s="1"/>
  <c r="P243" i="10" s="1"/>
  <c r="P243" i="11" s="1"/>
  <c r="O242" i="9"/>
  <c r="P242" i="9" s="1"/>
  <c r="P242" i="10" s="1"/>
  <c r="P242" i="11" s="1"/>
  <c r="O241" i="9"/>
  <c r="O240" i="9"/>
  <c r="P240" i="9" s="1"/>
  <c r="P240" i="10" s="1"/>
  <c r="P240" i="11" s="1"/>
  <c r="O239" i="9"/>
  <c r="P239" i="9" s="1"/>
  <c r="P239" i="10" s="1"/>
  <c r="P239" i="11" s="1"/>
  <c r="O238" i="9"/>
  <c r="P238" i="9" s="1"/>
  <c r="P238" i="10" s="1"/>
  <c r="P238" i="11" s="1"/>
  <c r="O237" i="9"/>
  <c r="P237" i="9" s="1"/>
  <c r="P237" i="10" s="1"/>
  <c r="P237" i="11" s="1"/>
  <c r="O236" i="9"/>
  <c r="P236" i="9" s="1"/>
  <c r="P236" i="10" s="1"/>
  <c r="P236" i="11" s="1"/>
  <c r="O235" i="9"/>
  <c r="P235" i="9" s="1"/>
  <c r="P235" i="10" s="1"/>
  <c r="P235" i="11" s="1"/>
  <c r="O234" i="9"/>
  <c r="P234" i="9" s="1"/>
  <c r="P234" i="10" s="1"/>
  <c r="P234" i="11" s="1"/>
  <c r="O233" i="9"/>
  <c r="O232" i="9"/>
  <c r="P232" i="9" s="1"/>
  <c r="P232" i="10" s="1"/>
  <c r="P232" i="11" s="1"/>
  <c r="O231" i="9"/>
  <c r="P231" i="9" s="1"/>
  <c r="P231" i="10" s="1"/>
  <c r="P231" i="11" s="1"/>
  <c r="O230" i="9"/>
  <c r="P230" i="9" s="1"/>
  <c r="P230" i="10" s="1"/>
  <c r="P230" i="11" s="1"/>
  <c r="O229" i="9"/>
  <c r="P229" i="9" s="1"/>
  <c r="P229" i="10" s="1"/>
  <c r="P229" i="11" s="1"/>
  <c r="O228" i="9"/>
  <c r="P228" i="9" s="1"/>
  <c r="P228" i="10" s="1"/>
  <c r="P228" i="11" s="1"/>
  <c r="O227" i="9"/>
  <c r="P227" i="9" s="1"/>
  <c r="P227" i="10" s="1"/>
  <c r="P227" i="11" s="1"/>
  <c r="O226" i="9"/>
  <c r="P226" i="9" s="1"/>
  <c r="P226" i="10" s="1"/>
  <c r="P226" i="11" s="1"/>
  <c r="O225" i="9"/>
  <c r="O224" i="9"/>
  <c r="P224" i="9" s="1"/>
  <c r="P224" i="10" s="1"/>
  <c r="P224" i="11" s="1"/>
  <c r="O223" i="9"/>
  <c r="P223" i="9" s="1"/>
  <c r="P223" i="10" s="1"/>
  <c r="P223" i="11" s="1"/>
  <c r="O222" i="9"/>
  <c r="P222" i="9" s="1"/>
  <c r="P222" i="10" s="1"/>
  <c r="P222" i="11" s="1"/>
  <c r="O221" i="9"/>
  <c r="P221" i="9" s="1"/>
  <c r="P221" i="10" s="1"/>
  <c r="P221" i="11" s="1"/>
  <c r="O220" i="9"/>
  <c r="P220" i="9" s="1"/>
  <c r="P220" i="10" s="1"/>
  <c r="P220" i="11" s="1"/>
  <c r="O219" i="9"/>
  <c r="P219" i="9" s="1"/>
  <c r="P219" i="10" s="1"/>
  <c r="P219" i="11" s="1"/>
  <c r="O218" i="9"/>
  <c r="P218" i="9" s="1"/>
  <c r="P218" i="10" s="1"/>
  <c r="P218" i="11" s="1"/>
  <c r="O217" i="9"/>
  <c r="O216" i="9"/>
  <c r="P216" i="9" s="1"/>
  <c r="P216" i="10" s="1"/>
  <c r="P216" i="11" s="1"/>
  <c r="O215" i="9"/>
  <c r="P215" i="9" s="1"/>
  <c r="P215" i="10" s="1"/>
  <c r="P215" i="11" s="1"/>
  <c r="O214" i="9"/>
  <c r="P214" i="9" s="1"/>
  <c r="P214" i="10" s="1"/>
  <c r="P214" i="11" s="1"/>
  <c r="O213" i="9"/>
  <c r="P213" i="9" s="1"/>
  <c r="P213" i="10" s="1"/>
  <c r="P213" i="11" s="1"/>
  <c r="O212" i="9"/>
  <c r="P212" i="9" s="1"/>
  <c r="P212" i="10" s="1"/>
  <c r="P212" i="11" s="1"/>
  <c r="O211" i="9"/>
  <c r="P211" i="9" s="1"/>
  <c r="P211" i="10" s="1"/>
  <c r="P211" i="11" s="1"/>
  <c r="O210" i="9"/>
  <c r="P210" i="9" s="1"/>
  <c r="P210" i="10" s="1"/>
  <c r="P210" i="11" s="1"/>
  <c r="O209" i="9"/>
  <c r="O208" i="9"/>
  <c r="P208" i="9" s="1"/>
  <c r="P208" i="10" s="1"/>
  <c r="P208" i="11" s="1"/>
  <c r="O207" i="9"/>
  <c r="P207" i="9" s="1"/>
  <c r="P207" i="10" s="1"/>
  <c r="P207" i="11" s="1"/>
  <c r="O206" i="9"/>
  <c r="P206" i="9" s="1"/>
  <c r="P206" i="10" s="1"/>
  <c r="P206" i="11" s="1"/>
  <c r="O205" i="9"/>
  <c r="P205" i="9" s="1"/>
  <c r="P205" i="10" s="1"/>
  <c r="P205" i="11" s="1"/>
  <c r="O204" i="9"/>
  <c r="P204" i="9" s="1"/>
  <c r="P204" i="10" s="1"/>
  <c r="P204" i="11" s="1"/>
  <c r="O203" i="9"/>
  <c r="P203" i="9" s="1"/>
  <c r="P203" i="10" s="1"/>
  <c r="P203" i="11" s="1"/>
  <c r="O202" i="9"/>
  <c r="P202" i="9" s="1"/>
  <c r="P202" i="10" s="1"/>
  <c r="P202" i="11" s="1"/>
  <c r="O201" i="9"/>
  <c r="O200" i="9"/>
  <c r="P200" i="9" s="1"/>
  <c r="P200" i="10" s="1"/>
  <c r="P200" i="11" s="1"/>
  <c r="O199" i="9"/>
  <c r="P199" i="9" s="1"/>
  <c r="P199" i="10" s="1"/>
  <c r="P199" i="11" s="1"/>
  <c r="O198" i="9"/>
  <c r="P198" i="9" s="1"/>
  <c r="P198" i="10" s="1"/>
  <c r="P198" i="11" s="1"/>
  <c r="O197" i="9"/>
  <c r="P197" i="9" s="1"/>
  <c r="P197" i="10" s="1"/>
  <c r="P197" i="11" s="1"/>
  <c r="O196" i="9"/>
  <c r="P196" i="9" s="1"/>
  <c r="P196" i="10" s="1"/>
  <c r="P196" i="11" s="1"/>
  <c r="O195" i="9"/>
  <c r="P195" i="9" s="1"/>
  <c r="P195" i="10" s="1"/>
  <c r="P195" i="11" s="1"/>
  <c r="O194" i="9"/>
  <c r="P194" i="9" s="1"/>
  <c r="P194" i="10" s="1"/>
  <c r="P194" i="11" s="1"/>
  <c r="O193" i="9"/>
  <c r="O192" i="9"/>
  <c r="P192" i="9" s="1"/>
  <c r="P192" i="10" s="1"/>
  <c r="P192" i="11" s="1"/>
  <c r="O191" i="9"/>
  <c r="P191" i="9" s="1"/>
  <c r="P191" i="10" s="1"/>
  <c r="P191" i="11" s="1"/>
  <c r="O190" i="9"/>
  <c r="P190" i="9" s="1"/>
  <c r="P190" i="10" s="1"/>
  <c r="P190" i="11" s="1"/>
  <c r="O189" i="9"/>
  <c r="P189" i="9" s="1"/>
  <c r="P189" i="10" s="1"/>
  <c r="P189" i="11" s="1"/>
  <c r="O188" i="9"/>
  <c r="P188" i="9" s="1"/>
  <c r="P188" i="10" s="1"/>
  <c r="P188" i="11" s="1"/>
  <c r="O187" i="9"/>
  <c r="P187" i="9" s="1"/>
  <c r="P187" i="10" s="1"/>
  <c r="P187" i="11" s="1"/>
  <c r="O186" i="9"/>
  <c r="P186" i="9" s="1"/>
  <c r="P186" i="10" s="1"/>
  <c r="P186" i="11" s="1"/>
  <c r="O185" i="9"/>
  <c r="O184" i="9"/>
  <c r="P184" i="9" s="1"/>
  <c r="P184" i="10" s="1"/>
  <c r="P184" i="11" s="1"/>
  <c r="O183" i="9"/>
  <c r="P183" i="9" s="1"/>
  <c r="P183" i="10" s="1"/>
  <c r="P183" i="11" s="1"/>
  <c r="O182" i="9"/>
  <c r="P182" i="9" s="1"/>
  <c r="P182" i="10" s="1"/>
  <c r="P182" i="11" s="1"/>
  <c r="O181" i="9"/>
  <c r="P181" i="9" s="1"/>
  <c r="P181" i="10" s="1"/>
  <c r="P181" i="11" s="1"/>
  <c r="O180" i="9"/>
  <c r="P180" i="9" s="1"/>
  <c r="P180" i="10" s="1"/>
  <c r="P180" i="11" s="1"/>
  <c r="O179" i="9"/>
  <c r="P179" i="9" s="1"/>
  <c r="P179" i="10" s="1"/>
  <c r="P179" i="11" s="1"/>
  <c r="O178" i="9"/>
  <c r="P178" i="9" s="1"/>
  <c r="P178" i="10" s="1"/>
  <c r="P178" i="11" s="1"/>
  <c r="O177" i="9"/>
  <c r="O176" i="9"/>
  <c r="P176" i="9" s="1"/>
  <c r="P176" i="10" s="1"/>
  <c r="P176" i="11" s="1"/>
  <c r="O175" i="9"/>
  <c r="P175" i="9" s="1"/>
  <c r="P175" i="10" s="1"/>
  <c r="P175" i="11" s="1"/>
  <c r="O174" i="9"/>
  <c r="P174" i="9" s="1"/>
  <c r="P174" i="10" s="1"/>
  <c r="P174" i="11" s="1"/>
  <c r="O173" i="9"/>
  <c r="P173" i="9" s="1"/>
  <c r="P173" i="10" s="1"/>
  <c r="P173" i="11" s="1"/>
  <c r="O172" i="9"/>
  <c r="P172" i="9" s="1"/>
  <c r="P172" i="10" s="1"/>
  <c r="P172" i="11" s="1"/>
  <c r="O171" i="9"/>
  <c r="P171" i="9" s="1"/>
  <c r="P171" i="10" s="1"/>
  <c r="P171" i="11" s="1"/>
  <c r="O170" i="9"/>
  <c r="P170" i="9" s="1"/>
  <c r="P170" i="10" s="1"/>
  <c r="P170" i="11" s="1"/>
  <c r="O169" i="9"/>
  <c r="O168" i="9"/>
  <c r="P168" i="9" s="1"/>
  <c r="P168" i="10" s="1"/>
  <c r="P168" i="11" s="1"/>
  <c r="O167" i="9"/>
  <c r="P167" i="9" s="1"/>
  <c r="P167" i="10" s="1"/>
  <c r="P167" i="11" s="1"/>
  <c r="O166" i="9"/>
  <c r="P166" i="9" s="1"/>
  <c r="P166" i="10" s="1"/>
  <c r="P166" i="11" s="1"/>
  <c r="O165" i="9"/>
  <c r="P165" i="9" s="1"/>
  <c r="P165" i="10" s="1"/>
  <c r="P165" i="11" s="1"/>
  <c r="O164" i="9"/>
  <c r="P164" i="9" s="1"/>
  <c r="P164" i="10" s="1"/>
  <c r="P164" i="11" s="1"/>
  <c r="O163" i="9"/>
  <c r="P163" i="9" s="1"/>
  <c r="P163" i="10" s="1"/>
  <c r="P163" i="11" s="1"/>
  <c r="O162" i="9"/>
  <c r="P162" i="9" s="1"/>
  <c r="P162" i="10" s="1"/>
  <c r="P162" i="11" s="1"/>
  <c r="O161" i="9"/>
  <c r="O160" i="9"/>
  <c r="P160" i="9" s="1"/>
  <c r="P160" i="10" s="1"/>
  <c r="P160" i="11" s="1"/>
  <c r="O159" i="9"/>
  <c r="P159" i="9" s="1"/>
  <c r="P159" i="10" s="1"/>
  <c r="P159" i="11" s="1"/>
  <c r="O158" i="9"/>
  <c r="P158" i="9" s="1"/>
  <c r="P158" i="10" s="1"/>
  <c r="P158" i="11" s="1"/>
  <c r="O157" i="9"/>
  <c r="P157" i="9" s="1"/>
  <c r="P157" i="10" s="1"/>
  <c r="P157" i="11" s="1"/>
  <c r="O156" i="9"/>
  <c r="P156" i="9" s="1"/>
  <c r="P156" i="10" s="1"/>
  <c r="P156" i="11" s="1"/>
  <c r="O155" i="9"/>
  <c r="P155" i="9" s="1"/>
  <c r="P155" i="10" s="1"/>
  <c r="P155" i="11" s="1"/>
  <c r="O154" i="9"/>
  <c r="P154" i="9" s="1"/>
  <c r="P154" i="10" s="1"/>
  <c r="P154" i="11" s="1"/>
  <c r="O153" i="9"/>
  <c r="O152" i="9"/>
  <c r="P152" i="9" s="1"/>
  <c r="P152" i="10" s="1"/>
  <c r="P152" i="11" s="1"/>
  <c r="O151" i="9"/>
  <c r="P151" i="9" s="1"/>
  <c r="P151" i="10" s="1"/>
  <c r="P151" i="11" s="1"/>
  <c r="O150" i="9"/>
  <c r="P150" i="9" s="1"/>
  <c r="P150" i="10" s="1"/>
  <c r="P150" i="11" s="1"/>
  <c r="O149" i="9"/>
  <c r="P149" i="9" s="1"/>
  <c r="P149" i="10" s="1"/>
  <c r="P149" i="11" s="1"/>
  <c r="O148" i="9"/>
  <c r="P148" i="9" s="1"/>
  <c r="P148" i="10" s="1"/>
  <c r="P148" i="11" s="1"/>
  <c r="O147" i="9"/>
  <c r="P147" i="9" s="1"/>
  <c r="P147" i="10" s="1"/>
  <c r="P147" i="11" s="1"/>
  <c r="O146" i="9"/>
  <c r="P146" i="9" s="1"/>
  <c r="P146" i="10" s="1"/>
  <c r="P146" i="11" s="1"/>
  <c r="O145" i="9"/>
  <c r="O144" i="9"/>
  <c r="P144" i="9" s="1"/>
  <c r="P144" i="10" s="1"/>
  <c r="P144" i="11" s="1"/>
  <c r="O143" i="9"/>
  <c r="P143" i="9" s="1"/>
  <c r="P143" i="10" s="1"/>
  <c r="P143" i="11" s="1"/>
  <c r="O142" i="9"/>
  <c r="P142" i="9" s="1"/>
  <c r="P142" i="10" s="1"/>
  <c r="P142" i="11" s="1"/>
  <c r="O141" i="9"/>
  <c r="P141" i="9" s="1"/>
  <c r="P141" i="10" s="1"/>
  <c r="P141" i="11" s="1"/>
  <c r="O140" i="9"/>
  <c r="P140" i="9" s="1"/>
  <c r="P140" i="10" s="1"/>
  <c r="P140" i="11" s="1"/>
  <c r="O139" i="9"/>
  <c r="P139" i="9" s="1"/>
  <c r="P139" i="10" s="1"/>
  <c r="P139" i="11" s="1"/>
  <c r="O138" i="9"/>
  <c r="P138" i="9" s="1"/>
  <c r="P138" i="10" s="1"/>
  <c r="P138" i="11" s="1"/>
  <c r="O137" i="9"/>
  <c r="P137" i="9" s="1"/>
  <c r="P137" i="10" s="1"/>
  <c r="P137" i="11" s="1"/>
  <c r="O136" i="9"/>
  <c r="O135" i="9"/>
  <c r="P135" i="9" s="1"/>
  <c r="P135" i="10" s="1"/>
  <c r="P135" i="11" s="1"/>
  <c r="O134" i="9"/>
  <c r="P134" i="9" s="1"/>
  <c r="P134" i="10" s="1"/>
  <c r="P134" i="11" s="1"/>
  <c r="O133" i="9"/>
  <c r="P133" i="9" s="1"/>
  <c r="P133" i="10" s="1"/>
  <c r="P133" i="11" s="1"/>
  <c r="O132" i="9"/>
  <c r="P132" i="9" s="1"/>
  <c r="P132" i="10" s="1"/>
  <c r="P132" i="11" s="1"/>
  <c r="O131" i="9"/>
  <c r="P131" i="9" s="1"/>
  <c r="P131" i="10" s="1"/>
  <c r="P131" i="11" s="1"/>
  <c r="O130" i="9"/>
  <c r="P130" i="9" s="1"/>
  <c r="P130" i="10" s="1"/>
  <c r="P130" i="11" s="1"/>
  <c r="O129" i="9"/>
  <c r="P129" i="9" s="1"/>
  <c r="P129" i="10" s="1"/>
  <c r="P129" i="11" s="1"/>
  <c r="O128" i="9"/>
  <c r="P128" i="9" s="1"/>
  <c r="P128" i="10" s="1"/>
  <c r="P128" i="11" s="1"/>
  <c r="O127" i="9"/>
  <c r="P127" i="9" s="1"/>
  <c r="P127" i="10" s="1"/>
  <c r="P127" i="11" s="1"/>
  <c r="O126" i="9"/>
  <c r="P126" i="9" s="1"/>
  <c r="P126" i="10" s="1"/>
  <c r="P126" i="11" s="1"/>
  <c r="O125" i="9"/>
  <c r="P125" i="9" s="1"/>
  <c r="P125" i="10" s="1"/>
  <c r="P125" i="11" s="1"/>
  <c r="O124" i="9"/>
  <c r="P124" i="9" s="1"/>
  <c r="P124" i="10" s="1"/>
  <c r="P124" i="11" s="1"/>
  <c r="O123" i="9"/>
  <c r="P123" i="9" s="1"/>
  <c r="P123" i="10" s="1"/>
  <c r="P123" i="11" s="1"/>
  <c r="O122" i="9"/>
  <c r="P122" i="9" s="1"/>
  <c r="P122" i="10" s="1"/>
  <c r="P122" i="11" s="1"/>
  <c r="O121" i="9"/>
  <c r="P121" i="9" s="1"/>
  <c r="P121" i="10" s="1"/>
  <c r="P121" i="11" s="1"/>
  <c r="O120" i="9"/>
  <c r="P120" i="9" s="1"/>
  <c r="P120" i="10" s="1"/>
  <c r="P120" i="11" s="1"/>
  <c r="O119" i="9"/>
  <c r="P119" i="9" s="1"/>
  <c r="P119" i="10" s="1"/>
  <c r="P119" i="11" s="1"/>
  <c r="O118" i="9"/>
  <c r="P118" i="9" s="1"/>
  <c r="P118" i="10" s="1"/>
  <c r="P118" i="11" s="1"/>
  <c r="O117" i="9"/>
  <c r="P117" i="9" s="1"/>
  <c r="P117" i="10" s="1"/>
  <c r="P117" i="11" s="1"/>
  <c r="O116" i="9"/>
  <c r="P116" i="9" s="1"/>
  <c r="P116" i="10" s="1"/>
  <c r="P116" i="11" s="1"/>
  <c r="O115" i="9"/>
  <c r="P115" i="9" s="1"/>
  <c r="P115" i="10" s="1"/>
  <c r="P115" i="11" s="1"/>
  <c r="O114" i="9"/>
  <c r="P114" i="9" s="1"/>
  <c r="P114" i="10" s="1"/>
  <c r="P114" i="11" s="1"/>
  <c r="O113" i="9"/>
  <c r="P113" i="9" s="1"/>
  <c r="P113" i="10" s="1"/>
  <c r="P113" i="11" s="1"/>
  <c r="O112" i="9"/>
  <c r="P112" i="9" s="1"/>
  <c r="P112" i="10" s="1"/>
  <c r="P112" i="11" s="1"/>
  <c r="O111" i="9"/>
  <c r="P111" i="9" s="1"/>
  <c r="P111" i="10" s="1"/>
  <c r="P111" i="11" s="1"/>
  <c r="O110" i="9"/>
  <c r="P110" i="9" s="1"/>
  <c r="P110" i="10" s="1"/>
  <c r="P110" i="11" s="1"/>
  <c r="O109" i="9"/>
  <c r="P109" i="9" s="1"/>
  <c r="P109" i="10" s="1"/>
  <c r="P109" i="11" s="1"/>
  <c r="O108" i="9"/>
  <c r="P108" i="9" s="1"/>
  <c r="P108" i="10" s="1"/>
  <c r="P108" i="11" s="1"/>
  <c r="O107" i="9"/>
  <c r="P107" i="9" s="1"/>
  <c r="P107" i="10" s="1"/>
  <c r="P107" i="11" s="1"/>
  <c r="O106" i="9"/>
  <c r="P106" i="9" s="1"/>
  <c r="P106" i="10" s="1"/>
  <c r="P106" i="11" s="1"/>
  <c r="O105" i="9"/>
  <c r="P105" i="9" s="1"/>
  <c r="P105" i="10" s="1"/>
  <c r="P105" i="11" s="1"/>
  <c r="O104" i="9"/>
  <c r="P104" i="9" s="1"/>
  <c r="P104" i="10" s="1"/>
  <c r="P104" i="11" s="1"/>
  <c r="O103" i="9"/>
  <c r="P103" i="9" s="1"/>
  <c r="P103" i="10" s="1"/>
  <c r="P103" i="11" s="1"/>
  <c r="O102" i="9"/>
  <c r="P102" i="9" s="1"/>
  <c r="P102" i="10" s="1"/>
  <c r="P102" i="11" s="1"/>
  <c r="O101" i="9"/>
  <c r="P101" i="9" s="1"/>
  <c r="P101" i="10" s="1"/>
  <c r="P101" i="11" s="1"/>
  <c r="O100" i="9"/>
  <c r="P100" i="9" s="1"/>
  <c r="P100" i="10" s="1"/>
  <c r="P100" i="11" s="1"/>
  <c r="O99" i="9"/>
  <c r="P99" i="9" s="1"/>
  <c r="P99" i="10" s="1"/>
  <c r="P99" i="11" s="1"/>
  <c r="O98" i="9"/>
  <c r="P98" i="9" s="1"/>
  <c r="P98" i="10" s="1"/>
  <c r="P98" i="11" s="1"/>
  <c r="O97" i="9"/>
  <c r="P97" i="9" s="1"/>
  <c r="P97" i="10" s="1"/>
  <c r="P97" i="11" s="1"/>
  <c r="O96" i="9"/>
  <c r="P96" i="9" s="1"/>
  <c r="P96" i="10" s="1"/>
  <c r="P96" i="11" s="1"/>
  <c r="O95" i="9"/>
  <c r="P95" i="9" s="1"/>
  <c r="P95" i="10" s="1"/>
  <c r="P95" i="11" s="1"/>
  <c r="O94" i="9"/>
  <c r="P94" i="9" s="1"/>
  <c r="P94" i="10" s="1"/>
  <c r="P94" i="11" s="1"/>
  <c r="O93" i="9"/>
  <c r="P93" i="9" s="1"/>
  <c r="P93" i="10" s="1"/>
  <c r="P93" i="11" s="1"/>
  <c r="O92" i="9"/>
  <c r="P92" i="9" s="1"/>
  <c r="P92" i="10" s="1"/>
  <c r="P92" i="11" s="1"/>
  <c r="O91" i="9"/>
  <c r="P91" i="9" s="1"/>
  <c r="P91" i="10" s="1"/>
  <c r="P91" i="11" s="1"/>
  <c r="O90" i="9"/>
  <c r="P90" i="9" s="1"/>
  <c r="P90" i="10" s="1"/>
  <c r="P90" i="11" s="1"/>
  <c r="O89" i="9"/>
  <c r="P89" i="9" s="1"/>
  <c r="P89" i="10" s="1"/>
  <c r="P89" i="11" s="1"/>
  <c r="O88" i="9"/>
  <c r="P88" i="9" s="1"/>
  <c r="P88" i="10" s="1"/>
  <c r="P88" i="11" s="1"/>
  <c r="O87" i="9"/>
  <c r="P87" i="9" s="1"/>
  <c r="P87" i="10" s="1"/>
  <c r="P87" i="11" s="1"/>
  <c r="O86" i="9"/>
  <c r="P86" i="9" s="1"/>
  <c r="P86" i="10" s="1"/>
  <c r="P86" i="11" s="1"/>
  <c r="O85" i="9"/>
  <c r="P85" i="9" s="1"/>
  <c r="P85" i="10" s="1"/>
  <c r="P85" i="11" s="1"/>
  <c r="O84" i="9"/>
  <c r="P84" i="9" s="1"/>
  <c r="P84" i="10" s="1"/>
  <c r="P84" i="11" s="1"/>
  <c r="O83" i="9"/>
  <c r="P83" i="9" s="1"/>
  <c r="P83" i="10" s="1"/>
  <c r="P83" i="11" s="1"/>
  <c r="O82" i="9"/>
  <c r="P82" i="9" s="1"/>
  <c r="P82" i="10" s="1"/>
  <c r="P82" i="11" s="1"/>
  <c r="O81" i="9"/>
  <c r="P81" i="9" s="1"/>
  <c r="P81" i="10" s="1"/>
  <c r="P81" i="11" s="1"/>
  <c r="O80" i="9"/>
  <c r="P80" i="9" s="1"/>
  <c r="P80" i="10" s="1"/>
  <c r="P80" i="11" s="1"/>
  <c r="O79" i="9"/>
  <c r="P79" i="9" s="1"/>
  <c r="P79" i="10" s="1"/>
  <c r="P79" i="11" s="1"/>
  <c r="O78" i="9"/>
  <c r="P78" i="9" s="1"/>
  <c r="P78" i="10" s="1"/>
  <c r="P78" i="11" s="1"/>
  <c r="O77" i="9"/>
  <c r="P77" i="9" s="1"/>
  <c r="P77" i="10" s="1"/>
  <c r="P77" i="11" s="1"/>
  <c r="O76" i="9"/>
  <c r="P76" i="9" s="1"/>
  <c r="P76" i="10" s="1"/>
  <c r="P76" i="11" s="1"/>
  <c r="O75" i="9"/>
  <c r="P75" i="9" s="1"/>
  <c r="P75" i="10" s="1"/>
  <c r="P75" i="11" s="1"/>
  <c r="O74" i="9"/>
  <c r="P74" i="9" s="1"/>
  <c r="P74" i="10" s="1"/>
  <c r="P74" i="11" s="1"/>
  <c r="O73" i="9"/>
  <c r="P73" i="9" s="1"/>
  <c r="P73" i="10" s="1"/>
  <c r="P73" i="11" s="1"/>
  <c r="O72" i="9"/>
  <c r="P72" i="9" s="1"/>
  <c r="P72" i="10" s="1"/>
  <c r="P72" i="11" s="1"/>
  <c r="O71" i="9"/>
  <c r="P71" i="9" s="1"/>
  <c r="P71" i="10" s="1"/>
  <c r="P71" i="11" s="1"/>
  <c r="O70" i="9"/>
  <c r="P70" i="9" s="1"/>
  <c r="P70" i="10" s="1"/>
  <c r="P70" i="11" s="1"/>
  <c r="O69" i="9"/>
  <c r="P69" i="9" s="1"/>
  <c r="P69" i="10" s="1"/>
  <c r="P69" i="11" s="1"/>
  <c r="O68" i="9"/>
  <c r="P68" i="9" s="1"/>
  <c r="P68" i="10" s="1"/>
  <c r="P68" i="11" s="1"/>
  <c r="O67" i="9"/>
  <c r="P67" i="9" s="1"/>
  <c r="P67" i="10" s="1"/>
  <c r="P67" i="11" s="1"/>
  <c r="O66" i="9"/>
  <c r="P66" i="9" s="1"/>
  <c r="P66" i="10" s="1"/>
  <c r="P66" i="11" s="1"/>
  <c r="O65" i="9"/>
  <c r="P65" i="9" s="1"/>
  <c r="P65" i="10" s="1"/>
  <c r="P65" i="11" s="1"/>
  <c r="O64" i="9"/>
  <c r="P64" i="9" s="1"/>
  <c r="P64" i="10" s="1"/>
  <c r="P64" i="11" s="1"/>
  <c r="O63" i="9"/>
  <c r="P63" i="9" s="1"/>
  <c r="P63" i="10" s="1"/>
  <c r="P63" i="11" s="1"/>
  <c r="O62" i="9"/>
  <c r="P62" i="9" s="1"/>
  <c r="P62" i="10" s="1"/>
  <c r="P62" i="11" s="1"/>
  <c r="O61" i="9"/>
  <c r="P61" i="9" s="1"/>
  <c r="P61" i="10" s="1"/>
  <c r="P61" i="11" s="1"/>
  <c r="O60" i="9"/>
  <c r="P60" i="9" s="1"/>
  <c r="P60" i="10" s="1"/>
  <c r="P60" i="11" s="1"/>
  <c r="O59" i="9"/>
  <c r="P59" i="9" s="1"/>
  <c r="P59" i="10" s="1"/>
  <c r="P59" i="11" s="1"/>
  <c r="O58" i="9"/>
  <c r="P58" i="9" s="1"/>
  <c r="P58" i="10" s="1"/>
  <c r="P58" i="11" s="1"/>
  <c r="O57" i="9"/>
  <c r="P57" i="9" s="1"/>
  <c r="P57" i="10" s="1"/>
  <c r="P57" i="11" s="1"/>
  <c r="O56" i="9"/>
  <c r="P56" i="9" s="1"/>
  <c r="P56" i="10" s="1"/>
  <c r="P56" i="11" s="1"/>
  <c r="O55" i="9"/>
  <c r="P55" i="9" s="1"/>
  <c r="P55" i="10" s="1"/>
  <c r="P55" i="11" s="1"/>
  <c r="O54" i="9"/>
  <c r="P54" i="9" s="1"/>
  <c r="P54" i="10" s="1"/>
  <c r="P54" i="11" s="1"/>
  <c r="O53" i="9"/>
  <c r="P53" i="9" s="1"/>
  <c r="P53" i="10" s="1"/>
  <c r="P53" i="11" s="1"/>
  <c r="O52" i="9"/>
  <c r="P52" i="9" s="1"/>
  <c r="P52" i="10" s="1"/>
  <c r="P52" i="11" s="1"/>
  <c r="O51" i="9"/>
  <c r="P51" i="9" s="1"/>
  <c r="P51" i="10" s="1"/>
  <c r="P51" i="11" s="1"/>
  <c r="O50" i="9"/>
  <c r="P50" i="9" s="1"/>
  <c r="P50" i="10" s="1"/>
  <c r="P50" i="11" s="1"/>
  <c r="O49" i="9"/>
  <c r="P49" i="9" s="1"/>
  <c r="P49" i="10" s="1"/>
  <c r="P49" i="11" s="1"/>
  <c r="O48" i="9"/>
  <c r="P48" i="9" s="1"/>
  <c r="P48" i="10" s="1"/>
  <c r="P48" i="11" s="1"/>
  <c r="O47" i="9"/>
  <c r="P47" i="9" s="1"/>
  <c r="P47" i="10" s="1"/>
  <c r="P47" i="11" s="1"/>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5" i="8"/>
  <c r="P31" i="9"/>
  <c r="P31" i="10" s="1"/>
  <c r="P31" i="11" s="1"/>
  <c r="O15" i="7"/>
  <c r="O515" i="1"/>
  <c r="P515" i="1" s="1"/>
  <c r="O514" i="1"/>
  <c r="P514" i="1" s="1"/>
  <c r="O513" i="1"/>
  <c r="P513" i="1" s="1"/>
  <c r="O512" i="1"/>
  <c r="P512" i="1" s="1"/>
  <c r="O511" i="1"/>
  <c r="P511" i="1" s="1"/>
  <c r="O510" i="1"/>
  <c r="P510" i="1" s="1"/>
  <c r="O509" i="1"/>
  <c r="P509" i="1" s="1"/>
  <c r="O508" i="1"/>
  <c r="P508" i="1" s="1"/>
  <c r="O507" i="1"/>
  <c r="P507" i="1" s="1"/>
  <c r="O506" i="1"/>
  <c r="P506" i="1" s="1"/>
  <c r="O505" i="1"/>
  <c r="P505" i="1" s="1"/>
  <c r="O504" i="1"/>
  <c r="P504" i="1" s="1"/>
  <c r="O503" i="1"/>
  <c r="P503" i="1" s="1"/>
  <c r="O502" i="1"/>
  <c r="P502" i="1" s="1"/>
  <c r="O501" i="1"/>
  <c r="P501" i="1" s="1"/>
  <c r="O500" i="1"/>
  <c r="P500" i="1" s="1"/>
  <c r="O499" i="1"/>
  <c r="P499" i="1" s="1"/>
  <c r="O498" i="1"/>
  <c r="P498" i="1" s="1"/>
  <c r="O497" i="1"/>
  <c r="P497" i="1" s="1"/>
  <c r="O496" i="1"/>
  <c r="P496" i="1" s="1"/>
  <c r="O495" i="1"/>
  <c r="P495" i="1" s="1"/>
  <c r="O494" i="1"/>
  <c r="P494" i="1" s="1"/>
  <c r="O493" i="1"/>
  <c r="P493" i="1" s="1"/>
  <c r="O492" i="1"/>
  <c r="P492" i="1" s="1"/>
  <c r="O491" i="1"/>
  <c r="P491" i="1" s="1"/>
  <c r="O490" i="1"/>
  <c r="P490" i="1" s="1"/>
  <c r="O489" i="1"/>
  <c r="P489" i="1" s="1"/>
  <c r="O488" i="1"/>
  <c r="P488" i="1" s="1"/>
  <c r="O487" i="1"/>
  <c r="P487" i="1" s="1"/>
  <c r="O486" i="1"/>
  <c r="P486" i="1" s="1"/>
  <c r="O485" i="1"/>
  <c r="P485" i="1" s="1"/>
  <c r="O484" i="1"/>
  <c r="P484" i="1" s="1"/>
  <c r="O483" i="1"/>
  <c r="P483" i="1" s="1"/>
  <c r="O482" i="1"/>
  <c r="P482" i="1" s="1"/>
  <c r="O481" i="1"/>
  <c r="P481" i="1" s="1"/>
  <c r="O480" i="1"/>
  <c r="P480" i="1" s="1"/>
  <c r="O479" i="1"/>
  <c r="P479" i="1" s="1"/>
  <c r="O478" i="1"/>
  <c r="P478" i="1" s="1"/>
  <c r="O477" i="1"/>
  <c r="P477" i="1" s="1"/>
  <c r="O476" i="1"/>
  <c r="P476" i="1" s="1"/>
  <c r="O475" i="1"/>
  <c r="P475" i="1" s="1"/>
  <c r="O474" i="1"/>
  <c r="P474" i="1" s="1"/>
  <c r="O473" i="1"/>
  <c r="P473" i="1" s="1"/>
  <c r="O472" i="1"/>
  <c r="P472" i="1" s="1"/>
  <c r="O471" i="1"/>
  <c r="P471" i="1" s="1"/>
  <c r="O470" i="1"/>
  <c r="P470" i="1" s="1"/>
  <c r="O469" i="1"/>
  <c r="P469" i="1" s="1"/>
  <c r="O468" i="1"/>
  <c r="P468" i="1" s="1"/>
  <c r="O467" i="1"/>
  <c r="P467" i="1" s="1"/>
  <c r="O466" i="1"/>
  <c r="P466" i="1" s="1"/>
  <c r="O465" i="1"/>
  <c r="P465" i="1" s="1"/>
  <c r="O464" i="1"/>
  <c r="P464" i="1" s="1"/>
  <c r="O463" i="1"/>
  <c r="P463" i="1" s="1"/>
  <c r="O462" i="1"/>
  <c r="P462" i="1" s="1"/>
  <c r="O461" i="1"/>
  <c r="P461" i="1" s="1"/>
  <c r="O460" i="1"/>
  <c r="P460" i="1" s="1"/>
  <c r="O459" i="1"/>
  <c r="P459" i="1" s="1"/>
  <c r="O458" i="1"/>
  <c r="P458" i="1" s="1"/>
  <c r="O457" i="1"/>
  <c r="P457" i="1" s="1"/>
  <c r="O456" i="1"/>
  <c r="P456" i="1" s="1"/>
  <c r="O455" i="1"/>
  <c r="P455" i="1" s="1"/>
  <c r="O454" i="1"/>
  <c r="P454" i="1" s="1"/>
  <c r="O453" i="1"/>
  <c r="P453" i="1" s="1"/>
  <c r="O452" i="1"/>
  <c r="P452" i="1" s="1"/>
  <c r="O451" i="1"/>
  <c r="P451" i="1" s="1"/>
  <c r="O450" i="1"/>
  <c r="P450" i="1" s="1"/>
  <c r="O449" i="1"/>
  <c r="P449" i="1" s="1"/>
  <c r="O448" i="1"/>
  <c r="P448" i="1" s="1"/>
  <c r="O447" i="1"/>
  <c r="P447" i="1" s="1"/>
  <c r="O446" i="1"/>
  <c r="P446" i="1" s="1"/>
  <c r="O445" i="1"/>
  <c r="P445" i="1" s="1"/>
  <c r="O444" i="1"/>
  <c r="P444" i="1" s="1"/>
  <c r="O443" i="1"/>
  <c r="P443" i="1" s="1"/>
  <c r="O442" i="1"/>
  <c r="P442" i="1" s="1"/>
  <c r="O441" i="1"/>
  <c r="P441" i="1" s="1"/>
  <c r="O440" i="1"/>
  <c r="P440" i="1" s="1"/>
  <c r="O439" i="1"/>
  <c r="P439" i="1" s="1"/>
  <c r="O438" i="1"/>
  <c r="P438" i="1" s="1"/>
  <c r="O437" i="1"/>
  <c r="P437" i="1" s="1"/>
  <c r="O436" i="1"/>
  <c r="P436" i="1" s="1"/>
  <c r="O435" i="1"/>
  <c r="P435" i="1" s="1"/>
  <c r="O434" i="1"/>
  <c r="P434" i="1" s="1"/>
  <c r="O433" i="1"/>
  <c r="P433" i="1" s="1"/>
  <c r="O432" i="1"/>
  <c r="P432" i="1" s="1"/>
  <c r="O431" i="1"/>
  <c r="P431" i="1" s="1"/>
  <c r="O430" i="1"/>
  <c r="P430" i="1" s="1"/>
  <c r="O429" i="1"/>
  <c r="P429" i="1" s="1"/>
  <c r="O428" i="1"/>
  <c r="P428" i="1" s="1"/>
  <c r="O427" i="1"/>
  <c r="P427" i="1" s="1"/>
  <c r="O426" i="1"/>
  <c r="P426" i="1" s="1"/>
  <c r="O425" i="1"/>
  <c r="P425" i="1" s="1"/>
  <c r="O424" i="1"/>
  <c r="P424" i="1" s="1"/>
  <c r="O423" i="1"/>
  <c r="P423" i="1" s="1"/>
  <c r="O422" i="1"/>
  <c r="P422" i="1" s="1"/>
  <c r="O421" i="1"/>
  <c r="P421" i="1" s="1"/>
  <c r="O420" i="1"/>
  <c r="P420" i="1" s="1"/>
  <c r="O419" i="1"/>
  <c r="P419" i="1" s="1"/>
  <c r="O418" i="1"/>
  <c r="P418" i="1" s="1"/>
  <c r="O417" i="1"/>
  <c r="P417" i="1" s="1"/>
  <c r="O416" i="1"/>
  <c r="P416" i="1" s="1"/>
  <c r="O415" i="1"/>
  <c r="P415" i="1" s="1"/>
  <c r="O414" i="1"/>
  <c r="P414" i="1" s="1"/>
  <c r="O413" i="1"/>
  <c r="P413" i="1" s="1"/>
  <c r="O412" i="1"/>
  <c r="P412" i="1" s="1"/>
  <c r="O411" i="1"/>
  <c r="P411" i="1" s="1"/>
  <c r="O410" i="1"/>
  <c r="P410" i="1" s="1"/>
  <c r="O409" i="1"/>
  <c r="P409" i="1" s="1"/>
  <c r="O408" i="1"/>
  <c r="P408" i="1" s="1"/>
  <c r="O407" i="1"/>
  <c r="P407" i="1" s="1"/>
  <c r="O406" i="1"/>
  <c r="P406" i="1" s="1"/>
  <c r="O405" i="1"/>
  <c r="P405" i="1" s="1"/>
  <c r="O404" i="1"/>
  <c r="P404" i="1" s="1"/>
  <c r="O403" i="1"/>
  <c r="P403" i="1" s="1"/>
  <c r="O402" i="1"/>
  <c r="P402" i="1" s="1"/>
  <c r="O401" i="1"/>
  <c r="P401" i="1" s="1"/>
  <c r="O400" i="1"/>
  <c r="P400" i="1" s="1"/>
  <c r="O399" i="1"/>
  <c r="P399" i="1" s="1"/>
  <c r="O398" i="1"/>
  <c r="P398" i="1" s="1"/>
  <c r="O397" i="1"/>
  <c r="P397" i="1" s="1"/>
  <c r="O396" i="1"/>
  <c r="P396" i="1" s="1"/>
  <c r="O395" i="1"/>
  <c r="P395" i="1" s="1"/>
  <c r="O394" i="1"/>
  <c r="P394" i="1" s="1"/>
  <c r="O393" i="1"/>
  <c r="P393" i="1" s="1"/>
  <c r="O392" i="1"/>
  <c r="P392" i="1" s="1"/>
  <c r="O391" i="1"/>
  <c r="P391" i="1" s="1"/>
  <c r="O390" i="1"/>
  <c r="P390" i="1" s="1"/>
  <c r="O389" i="1"/>
  <c r="P389" i="1" s="1"/>
  <c r="O388" i="1"/>
  <c r="P388" i="1" s="1"/>
  <c r="O387" i="1"/>
  <c r="P387" i="1" s="1"/>
  <c r="O386" i="1"/>
  <c r="P386" i="1" s="1"/>
  <c r="O385" i="1"/>
  <c r="P385" i="1" s="1"/>
  <c r="O384" i="1"/>
  <c r="P384" i="1" s="1"/>
  <c r="O383" i="1"/>
  <c r="P383" i="1" s="1"/>
  <c r="O382" i="1"/>
  <c r="P382" i="1" s="1"/>
  <c r="O381" i="1"/>
  <c r="P381" i="1" s="1"/>
  <c r="O380" i="1"/>
  <c r="P380" i="1" s="1"/>
  <c r="O379" i="1"/>
  <c r="P379" i="1" s="1"/>
  <c r="O378" i="1"/>
  <c r="P378" i="1" s="1"/>
  <c r="O377" i="1"/>
  <c r="P377" i="1" s="1"/>
  <c r="O376" i="1"/>
  <c r="P376" i="1" s="1"/>
  <c r="O375" i="1"/>
  <c r="P375" i="1" s="1"/>
  <c r="O374" i="1"/>
  <c r="P374" i="1" s="1"/>
  <c r="O373" i="1"/>
  <c r="P373" i="1" s="1"/>
  <c r="O372" i="1"/>
  <c r="P372" i="1" s="1"/>
  <c r="O371" i="1"/>
  <c r="P371" i="1" s="1"/>
  <c r="O370" i="1"/>
  <c r="P370" i="1" s="1"/>
  <c r="O369" i="1"/>
  <c r="P369" i="1" s="1"/>
  <c r="O368" i="1"/>
  <c r="P368" i="1" s="1"/>
  <c r="O367" i="1"/>
  <c r="P367" i="1" s="1"/>
  <c r="O366" i="1"/>
  <c r="P366" i="1" s="1"/>
  <c r="O365" i="1"/>
  <c r="P365" i="1" s="1"/>
  <c r="O364" i="1"/>
  <c r="P364" i="1" s="1"/>
  <c r="O363" i="1"/>
  <c r="P363" i="1" s="1"/>
  <c r="O362" i="1"/>
  <c r="P362" i="1" s="1"/>
  <c r="O361" i="1"/>
  <c r="P361" i="1" s="1"/>
  <c r="O360" i="1"/>
  <c r="P360" i="1" s="1"/>
  <c r="O359" i="1"/>
  <c r="P359" i="1" s="1"/>
  <c r="O358" i="1"/>
  <c r="P358" i="1" s="1"/>
  <c r="O357" i="1"/>
  <c r="P357" i="1" s="1"/>
  <c r="O356" i="1"/>
  <c r="P356" i="1" s="1"/>
  <c r="O355" i="1"/>
  <c r="P355" i="1" s="1"/>
  <c r="O354" i="1"/>
  <c r="P354" i="1" s="1"/>
  <c r="O353" i="1"/>
  <c r="P353" i="1" s="1"/>
  <c r="O352" i="1"/>
  <c r="P352" i="1" s="1"/>
  <c r="O351" i="1"/>
  <c r="P351" i="1" s="1"/>
  <c r="O350" i="1"/>
  <c r="P350" i="1" s="1"/>
  <c r="O349" i="1"/>
  <c r="P349" i="1" s="1"/>
  <c r="O348" i="1"/>
  <c r="P348" i="1" s="1"/>
  <c r="O347" i="1"/>
  <c r="P347" i="1" s="1"/>
  <c r="O346" i="1"/>
  <c r="P346" i="1" s="1"/>
  <c r="O345" i="1"/>
  <c r="P345" i="1" s="1"/>
  <c r="O344" i="1"/>
  <c r="P344" i="1" s="1"/>
  <c r="O343" i="1"/>
  <c r="P343" i="1" s="1"/>
  <c r="O342" i="1"/>
  <c r="P342" i="1" s="1"/>
  <c r="O341" i="1"/>
  <c r="P341" i="1" s="1"/>
  <c r="O340" i="1"/>
  <c r="P340" i="1" s="1"/>
  <c r="O339" i="1"/>
  <c r="P339" i="1" s="1"/>
  <c r="O338" i="1"/>
  <c r="P338" i="1" s="1"/>
  <c r="O337" i="1"/>
  <c r="P337" i="1" s="1"/>
  <c r="O336" i="1"/>
  <c r="P336" i="1" s="1"/>
  <c r="O335" i="1"/>
  <c r="P335" i="1" s="1"/>
  <c r="O334" i="1"/>
  <c r="P334" i="1" s="1"/>
  <c r="O333" i="1"/>
  <c r="P333" i="1" s="1"/>
  <c r="O332" i="1"/>
  <c r="P332" i="1" s="1"/>
  <c r="O331" i="1"/>
  <c r="P331" i="1" s="1"/>
  <c r="O330" i="1"/>
  <c r="P330" i="1" s="1"/>
  <c r="O329" i="1"/>
  <c r="P329" i="1" s="1"/>
  <c r="O328" i="1"/>
  <c r="P328" i="1" s="1"/>
  <c r="O327" i="1"/>
  <c r="P327" i="1" s="1"/>
  <c r="O326" i="1"/>
  <c r="P326" i="1" s="1"/>
  <c r="O325" i="1"/>
  <c r="P325" i="1" s="1"/>
  <c r="O324" i="1"/>
  <c r="P324" i="1" s="1"/>
  <c r="O323" i="1"/>
  <c r="P323" i="1" s="1"/>
  <c r="O322" i="1"/>
  <c r="P322" i="1" s="1"/>
  <c r="O321" i="1"/>
  <c r="P321" i="1" s="1"/>
  <c r="O320" i="1"/>
  <c r="P320" i="1" s="1"/>
  <c r="O319" i="1"/>
  <c r="P319" i="1" s="1"/>
  <c r="O318" i="1"/>
  <c r="P318" i="1" s="1"/>
  <c r="O317" i="1"/>
  <c r="P317" i="1" s="1"/>
  <c r="O316" i="1"/>
  <c r="P316" i="1" s="1"/>
  <c r="O315" i="1"/>
  <c r="P315" i="1" s="1"/>
  <c r="O314" i="1"/>
  <c r="P314" i="1" s="1"/>
  <c r="O313" i="1"/>
  <c r="P313" i="1" s="1"/>
  <c r="O312" i="1"/>
  <c r="P312" i="1" s="1"/>
  <c r="O311" i="1"/>
  <c r="P311" i="1" s="1"/>
  <c r="O310" i="1"/>
  <c r="P310" i="1" s="1"/>
  <c r="O309" i="1"/>
  <c r="P309" i="1" s="1"/>
  <c r="O308" i="1"/>
  <c r="P308" i="1" s="1"/>
  <c r="O307" i="1"/>
  <c r="P307" i="1" s="1"/>
  <c r="O306" i="1"/>
  <c r="P306" i="1" s="1"/>
  <c r="O305" i="1"/>
  <c r="P305" i="1" s="1"/>
  <c r="O304" i="1"/>
  <c r="P304" i="1" s="1"/>
  <c r="O303" i="1"/>
  <c r="P303" i="1" s="1"/>
  <c r="O302" i="1"/>
  <c r="P302" i="1" s="1"/>
  <c r="O301" i="1"/>
  <c r="P301" i="1" s="1"/>
  <c r="O300" i="1"/>
  <c r="P300" i="1" s="1"/>
  <c r="O299" i="1"/>
  <c r="P299" i="1" s="1"/>
  <c r="O298" i="1"/>
  <c r="P298" i="1" s="1"/>
  <c r="O297" i="1"/>
  <c r="P297" i="1" s="1"/>
  <c r="O296" i="1"/>
  <c r="P296" i="1" s="1"/>
  <c r="O295" i="1"/>
  <c r="P295" i="1" s="1"/>
  <c r="O294" i="1"/>
  <c r="P294" i="1" s="1"/>
  <c r="O293" i="1"/>
  <c r="P293" i="1" s="1"/>
  <c r="O292" i="1"/>
  <c r="P292" i="1" s="1"/>
  <c r="O291" i="1"/>
  <c r="P291" i="1" s="1"/>
  <c r="O290" i="1"/>
  <c r="P290" i="1" s="1"/>
  <c r="O289" i="1"/>
  <c r="P289" i="1" s="1"/>
  <c r="O288" i="1"/>
  <c r="P288" i="1" s="1"/>
  <c r="O287" i="1"/>
  <c r="P287" i="1" s="1"/>
  <c r="O286" i="1"/>
  <c r="P286" i="1" s="1"/>
  <c r="O285" i="1"/>
  <c r="P285" i="1" s="1"/>
  <c r="O284" i="1"/>
  <c r="P284" i="1" s="1"/>
  <c r="O283" i="1"/>
  <c r="P283" i="1" s="1"/>
  <c r="O282" i="1"/>
  <c r="P282" i="1" s="1"/>
  <c r="O281" i="1"/>
  <c r="P281" i="1" s="1"/>
  <c r="O280" i="1"/>
  <c r="P280" i="1" s="1"/>
  <c r="O279" i="1"/>
  <c r="P279" i="1" s="1"/>
  <c r="O278" i="1"/>
  <c r="P278" i="1" s="1"/>
  <c r="O277" i="1"/>
  <c r="P277" i="1" s="1"/>
  <c r="O276" i="1"/>
  <c r="P276" i="1" s="1"/>
  <c r="O275" i="1"/>
  <c r="P275" i="1" s="1"/>
  <c r="O274" i="1"/>
  <c r="P274" i="1" s="1"/>
  <c r="O273" i="1"/>
  <c r="P273" i="1" s="1"/>
  <c r="O272" i="1"/>
  <c r="P272" i="1" s="1"/>
  <c r="O271" i="1"/>
  <c r="P271" i="1" s="1"/>
  <c r="O270" i="1"/>
  <c r="P270" i="1" s="1"/>
  <c r="O269" i="1"/>
  <c r="P269" i="1" s="1"/>
  <c r="O268" i="1"/>
  <c r="P268" i="1" s="1"/>
  <c r="O267" i="1"/>
  <c r="P267" i="1" s="1"/>
  <c r="O266" i="1"/>
  <c r="P266" i="1" s="1"/>
  <c r="P265" i="1"/>
  <c r="O265" i="1"/>
  <c r="O264" i="1"/>
  <c r="P264" i="1" s="1"/>
  <c r="O263" i="1"/>
  <c r="P263" i="1" s="1"/>
  <c r="O262" i="1"/>
  <c r="P262" i="1" s="1"/>
  <c r="O261" i="1"/>
  <c r="P261" i="1" s="1"/>
  <c r="O260" i="1"/>
  <c r="P260" i="1" s="1"/>
  <c r="O259" i="1"/>
  <c r="P259" i="1" s="1"/>
  <c r="O258" i="1"/>
  <c r="P258" i="1" s="1"/>
  <c r="O257" i="1"/>
  <c r="P257" i="1" s="1"/>
  <c r="O256" i="1"/>
  <c r="P256" i="1" s="1"/>
  <c r="O255" i="1"/>
  <c r="P255" i="1" s="1"/>
  <c r="O254" i="1"/>
  <c r="P254" i="1" s="1"/>
  <c r="O253" i="1"/>
  <c r="P253" i="1" s="1"/>
  <c r="O252" i="1"/>
  <c r="P252" i="1" s="1"/>
  <c r="O251" i="1"/>
  <c r="P251" i="1" s="1"/>
  <c r="O250" i="1"/>
  <c r="P250" i="1" s="1"/>
  <c r="O249" i="1"/>
  <c r="P249" i="1" s="1"/>
  <c r="O248" i="1"/>
  <c r="P248" i="1" s="1"/>
  <c r="O247" i="1"/>
  <c r="P247" i="1" s="1"/>
  <c r="O246" i="1"/>
  <c r="P246" i="1" s="1"/>
  <c r="O245" i="1"/>
  <c r="P245" i="1" s="1"/>
  <c r="P244" i="1"/>
  <c r="O244" i="1"/>
  <c r="O243" i="1"/>
  <c r="P243" i="1" s="1"/>
  <c r="O242" i="1"/>
  <c r="P242" i="1" s="1"/>
  <c r="O241" i="1"/>
  <c r="P241" i="1" s="1"/>
  <c r="O240" i="1"/>
  <c r="P240" i="1" s="1"/>
  <c r="O239" i="1"/>
  <c r="P239" i="1" s="1"/>
  <c r="O238" i="1"/>
  <c r="P238" i="1" s="1"/>
  <c r="O237" i="1"/>
  <c r="P237" i="1" s="1"/>
  <c r="O236" i="1"/>
  <c r="P236" i="1" s="1"/>
  <c r="O235" i="1"/>
  <c r="P235" i="1" s="1"/>
  <c r="O234" i="1"/>
  <c r="P234" i="1" s="1"/>
  <c r="O233" i="1"/>
  <c r="P233" i="1" s="1"/>
  <c r="O232" i="1"/>
  <c r="P232" i="1" s="1"/>
  <c r="O231" i="1"/>
  <c r="P231" i="1" s="1"/>
  <c r="O230" i="1"/>
  <c r="P230" i="1" s="1"/>
  <c r="O229" i="1"/>
  <c r="P229" i="1" s="1"/>
  <c r="O228" i="1"/>
  <c r="P228" i="1" s="1"/>
  <c r="O227" i="1"/>
  <c r="P227" i="1" s="1"/>
  <c r="O226" i="1"/>
  <c r="P226" i="1" s="1"/>
  <c r="O225" i="1"/>
  <c r="P225" i="1" s="1"/>
  <c r="O224" i="1"/>
  <c r="P224" i="1" s="1"/>
  <c r="O223" i="1"/>
  <c r="P223" i="1" s="1"/>
  <c r="O222" i="1"/>
  <c r="P222" i="1" s="1"/>
  <c r="O221" i="1"/>
  <c r="P221" i="1" s="1"/>
  <c r="O220" i="1"/>
  <c r="P220" i="1" s="1"/>
  <c r="O219" i="1"/>
  <c r="P219" i="1" s="1"/>
  <c r="O218" i="1"/>
  <c r="P218" i="1" s="1"/>
  <c r="O217" i="1"/>
  <c r="P217" i="1" s="1"/>
  <c r="O216" i="1"/>
  <c r="P216" i="1" s="1"/>
  <c r="O215" i="1"/>
  <c r="P215" i="1" s="1"/>
  <c r="O214" i="1"/>
  <c r="P214" i="1" s="1"/>
  <c r="O213" i="1"/>
  <c r="P213" i="1" s="1"/>
  <c r="O212" i="1"/>
  <c r="P212" i="1" s="1"/>
  <c r="O211" i="1"/>
  <c r="P211" i="1" s="1"/>
  <c r="O210" i="1"/>
  <c r="P210" i="1" s="1"/>
  <c r="O209" i="1"/>
  <c r="P209" i="1" s="1"/>
  <c r="O208" i="1"/>
  <c r="P208" i="1" s="1"/>
  <c r="O207" i="1"/>
  <c r="P207" i="1" s="1"/>
  <c r="O206" i="1"/>
  <c r="P206" i="1" s="1"/>
  <c r="O205" i="1"/>
  <c r="P205" i="1" s="1"/>
  <c r="O204" i="1"/>
  <c r="P204" i="1" s="1"/>
  <c r="O203" i="1"/>
  <c r="P203" i="1" s="1"/>
  <c r="O202" i="1"/>
  <c r="P202" i="1" s="1"/>
  <c r="O201" i="1"/>
  <c r="P201" i="1" s="1"/>
  <c r="O200" i="1"/>
  <c r="P200" i="1" s="1"/>
  <c r="O199" i="1"/>
  <c r="P199" i="1" s="1"/>
  <c r="O198" i="1"/>
  <c r="P198" i="1" s="1"/>
  <c r="O197" i="1"/>
  <c r="P197" i="1" s="1"/>
  <c r="O196" i="1"/>
  <c r="P196" i="1" s="1"/>
  <c r="O195" i="1"/>
  <c r="P195" i="1" s="1"/>
  <c r="O194" i="1"/>
  <c r="P194" i="1" s="1"/>
  <c r="O193" i="1"/>
  <c r="P193" i="1" s="1"/>
  <c r="O192" i="1"/>
  <c r="P192" i="1" s="1"/>
  <c r="O191" i="1"/>
  <c r="P191" i="1" s="1"/>
  <c r="O190" i="1"/>
  <c r="P190" i="1" s="1"/>
  <c r="O189" i="1"/>
  <c r="P189" i="1" s="1"/>
  <c r="P188" i="1"/>
  <c r="O188" i="1"/>
  <c r="O187" i="1"/>
  <c r="P187" i="1" s="1"/>
  <c r="O186" i="1"/>
  <c r="P186" i="1" s="1"/>
  <c r="O185" i="1"/>
  <c r="P185" i="1" s="1"/>
  <c r="O184" i="1"/>
  <c r="P184" i="1" s="1"/>
  <c r="O183" i="1"/>
  <c r="P183" i="1" s="1"/>
  <c r="O182" i="1"/>
  <c r="P182" i="1" s="1"/>
  <c r="O181" i="1"/>
  <c r="P181" i="1" s="1"/>
  <c r="O180" i="1"/>
  <c r="P180" i="1" s="1"/>
  <c r="O179" i="1"/>
  <c r="P179" i="1" s="1"/>
  <c r="O178" i="1"/>
  <c r="P178" i="1" s="1"/>
  <c r="O177" i="1"/>
  <c r="P177" i="1" s="1"/>
  <c r="O176" i="1"/>
  <c r="P176" i="1" s="1"/>
  <c r="O175" i="1"/>
  <c r="P175" i="1" s="1"/>
  <c r="P174" i="1"/>
  <c r="O174" i="1"/>
  <c r="O173" i="1"/>
  <c r="P173" i="1" s="1"/>
  <c r="O172" i="1"/>
  <c r="P172" i="1" s="1"/>
  <c r="O171" i="1"/>
  <c r="P171" i="1" s="1"/>
  <c r="P170" i="1"/>
  <c r="O170" i="1"/>
  <c r="O169" i="1"/>
  <c r="P169" i="1" s="1"/>
  <c r="O168" i="1"/>
  <c r="P168" i="1" s="1"/>
  <c r="O167" i="1"/>
  <c r="P167" i="1" s="1"/>
  <c r="P166" i="1"/>
  <c r="O166" i="1"/>
  <c r="O165" i="1"/>
  <c r="P165" i="1" s="1"/>
  <c r="O164" i="1"/>
  <c r="P164" i="1" s="1"/>
  <c r="O163" i="1"/>
  <c r="P163" i="1" s="1"/>
  <c r="P162" i="1"/>
  <c r="O162" i="1"/>
  <c r="O161" i="1"/>
  <c r="P161" i="1" s="1"/>
  <c r="O160" i="1"/>
  <c r="P160" i="1" s="1"/>
  <c r="O159" i="1"/>
  <c r="P159" i="1" s="1"/>
  <c r="O158" i="1"/>
  <c r="P158" i="1" s="1"/>
  <c r="O157" i="1"/>
  <c r="P157" i="1" s="1"/>
  <c r="O156" i="1"/>
  <c r="P156" i="1" s="1"/>
  <c r="O155" i="1"/>
  <c r="P155" i="1" s="1"/>
  <c r="O154" i="1"/>
  <c r="P154" i="1" s="1"/>
  <c r="O153" i="1"/>
  <c r="P153" i="1" s="1"/>
  <c r="O152" i="1"/>
  <c r="P152" i="1" s="1"/>
  <c r="O151" i="1"/>
  <c r="P151" i="1" s="1"/>
  <c r="O150" i="1"/>
  <c r="P150" i="1" s="1"/>
  <c r="O149" i="1"/>
  <c r="P149" i="1" s="1"/>
  <c r="O148" i="1"/>
  <c r="P148" i="1" s="1"/>
  <c r="O147" i="1"/>
  <c r="P147" i="1" s="1"/>
  <c r="O146" i="1"/>
  <c r="P146" i="1" s="1"/>
  <c r="O145" i="1"/>
  <c r="P145" i="1" s="1"/>
  <c r="O144" i="1"/>
  <c r="P144" i="1" s="1"/>
  <c r="O143" i="1"/>
  <c r="P143" i="1" s="1"/>
  <c r="P142" i="1"/>
  <c r="O142" i="1"/>
  <c r="O141" i="1"/>
  <c r="P141" i="1" s="1"/>
  <c r="O140" i="1"/>
  <c r="P140" i="1" s="1"/>
  <c r="O139" i="1"/>
  <c r="P139" i="1" s="1"/>
  <c r="P138" i="1"/>
  <c r="O138" i="1"/>
  <c r="O137" i="1"/>
  <c r="P137" i="1" s="1"/>
  <c r="O136" i="1"/>
  <c r="P136" i="1" s="1"/>
  <c r="O135" i="1"/>
  <c r="P135" i="1" s="1"/>
  <c r="P134" i="1"/>
  <c r="O134" i="1"/>
  <c r="O133" i="1"/>
  <c r="P133" i="1" s="1"/>
  <c r="O132" i="1"/>
  <c r="P132" i="1" s="1"/>
  <c r="O131" i="1"/>
  <c r="P131" i="1" s="1"/>
  <c r="P130" i="1"/>
  <c r="O130" i="1"/>
  <c r="O129" i="1"/>
  <c r="P129" i="1" s="1"/>
  <c r="O128" i="1"/>
  <c r="P128" i="1" s="1"/>
  <c r="O127" i="1"/>
  <c r="P127" i="1" s="1"/>
  <c r="O126" i="1"/>
  <c r="P126" i="1" s="1"/>
  <c r="O125" i="1"/>
  <c r="P125" i="1" s="1"/>
  <c r="O124" i="1"/>
  <c r="P124" i="1" s="1"/>
  <c r="O123" i="1"/>
  <c r="P123" i="1" s="1"/>
  <c r="O122" i="1"/>
  <c r="P122" i="1" s="1"/>
  <c r="O121" i="1"/>
  <c r="P121" i="1" s="1"/>
  <c r="O120" i="1"/>
  <c r="P120" i="1" s="1"/>
  <c r="O119" i="1"/>
  <c r="P119" i="1" s="1"/>
  <c r="O118" i="1"/>
  <c r="P118" i="1" s="1"/>
  <c r="O117" i="1"/>
  <c r="P117" i="1" s="1"/>
  <c r="O116" i="1"/>
  <c r="P116" i="1" s="1"/>
  <c r="O115" i="1"/>
  <c r="P115" i="1" s="1"/>
  <c r="O114" i="1"/>
  <c r="P114" i="1" s="1"/>
  <c r="O113" i="1"/>
  <c r="P113" i="1" s="1"/>
  <c r="O112" i="1"/>
  <c r="P112" i="1" s="1"/>
  <c r="O111" i="1"/>
  <c r="P111" i="1" s="1"/>
  <c r="P110" i="1"/>
  <c r="O110" i="1"/>
  <c r="O109" i="1"/>
  <c r="P109" i="1" s="1"/>
  <c r="O108" i="1"/>
  <c r="P108" i="1" s="1"/>
  <c r="O107" i="1"/>
  <c r="P107" i="1" s="1"/>
  <c r="P106" i="1"/>
  <c r="O106" i="1"/>
  <c r="O105" i="1"/>
  <c r="P105" i="1" s="1"/>
  <c r="O104" i="1"/>
  <c r="P104" i="1" s="1"/>
  <c r="O103" i="1"/>
  <c r="P103" i="1" s="1"/>
  <c r="P102" i="1"/>
  <c r="O102" i="1"/>
  <c r="O101" i="1"/>
  <c r="P101" i="1" s="1"/>
  <c r="O100" i="1"/>
  <c r="P100" i="1" s="1"/>
  <c r="O99" i="1"/>
  <c r="P99" i="1" s="1"/>
  <c r="O98" i="1"/>
  <c r="P98" i="1" s="1"/>
  <c r="O97" i="1"/>
  <c r="P97" i="1" s="1"/>
  <c r="O96" i="1"/>
  <c r="P96" i="1" s="1"/>
  <c r="O95" i="1"/>
  <c r="P95" i="1" s="1"/>
  <c r="O94" i="1"/>
  <c r="P94" i="1" s="1"/>
  <c r="O93" i="1"/>
  <c r="P93" i="1" s="1"/>
  <c r="O92" i="1"/>
  <c r="P92" i="1" s="1"/>
  <c r="O91" i="1"/>
  <c r="P91" i="1" s="1"/>
  <c r="O90" i="1"/>
  <c r="P90" i="1" s="1"/>
  <c r="O89" i="1"/>
  <c r="P89" i="1" s="1"/>
  <c r="O88" i="1"/>
  <c r="P88" i="1" s="1"/>
  <c r="O87" i="1"/>
  <c r="P87" i="1" s="1"/>
  <c r="O86" i="1"/>
  <c r="P86" i="1" s="1"/>
  <c r="O85" i="1"/>
  <c r="P85" i="1" s="1"/>
  <c r="O84" i="1"/>
  <c r="P84" i="1" s="1"/>
  <c r="O83" i="1"/>
  <c r="P83" i="1" s="1"/>
  <c r="O82" i="1"/>
  <c r="P82" i="1" s="1"/>
  <c r="O81" i="1"/>
  <c r="P81" i="1" s="1"/>
  <c r="O80" i="1"/>
  <c r="P80" i="1" s="1"/>
  <c r="O79" i="1"/>
  <c r="P79" i="1" s="1"/>
  <c r="P78" i="1"/>
  <c r="O78" i="1"/>
  <c r="O77" i="1"/>
  <c r="P77" i="1" s="1"/>
  <c r="O76" i="1"/>
  <c r="P76" i="1" s="1"/>
  <c r="O75" i="1"/>
  <c r="P75" i="1" s="1"/>
  <c r="P74" i="1"/>
  <c r="O74" i="1"/>
  <c r="O73" i="1"/>
  <c r="P73" i="1" s="1"/>
  <c r="O72" i="1"/>
  <c r="P72" i="1" s="1"/>
  <c r="O71" i="1"/>
  <c r="P71" i="1" s="1"/>
  <c r="O70" i="1"/>
  <c r="P70" i="1" s="1"/>
  <c r="O69" i="1"/>
  <c r="P69" i="1" s="1"/>
  <c r="O68" i="1"/>
  <c r="P68" i="1" s="1"/>
  <c r="O67" i="1"/>
  <c r="P67" i="1" s="1"/>
  <c r="O66" i="1"/>
  <c r="P66" i="1" s="1"/>
  <c r="O65" i="1"/>
  <c r="P65" i="1" s="1"/>
  <c r="O64" i="1"/>
  <c r="P64" i="1" s="1"/>
  <c r="O63" i="1"/>
  <c r="P63" i="1" s="1"/>
  <c r="O62" i="1"/>
  <c r="P62" i="1" s="1"/>
  <c r="O61" i="1"/>
  <c r="P61" i="1" s="1"/>
  <c r="O60" i="1"/>
  <c r="P60" i="1" s="1"/>
  <c r="O59" i="1"/>
  <c r="P59" i="1" s="1"/>
  <c r="O58" i="1"/>
  <c r="P58" i="1" s="1"/>
  <c r="O57" i="1"/>
  <c r="P57" i="1" s="1"/>
  <c r="O56" i="1"/>
  <c r="P56" i="1" s="1"/>
  <c r="O55" i="1"/>
  <c r="P55" i="1" s="1"/>
  <c r="O54" i="1"/>
  <c r="P54" i="1" s="1"/>
  <c r="O53" i="1"/>
  <c r="P53" i="1" s="1"/>
  <c r="O52" i="1"/>
  <c r="P52" i="1" s="1"/>
  <c r="O51" i="1"/>
  <c r="P51" i="1" s="1"/>
  <c r="O50" i="1"/>
  <c r="P50" i="1" s="1"/>
  <c r="O49" i="1"/>
  <c r="P49" i="1" s="1"/>
  <c r="O48" i="1"/>
  <c r="P48" i="1" s="1"/>
  <c r="O47" i="1"/>
  <c r="P47" i="1" s="1"/>
  <c r="P46" i="9" s="1"/>
  <c r="P46" i="10" s="1"/>
  <c r="P46" i="11" s="1"/>
  <c r="O46" i="1"/>
  <c r="P46" i="1" s="1"/>
  <c r="P45" i="9" s="1"/>
  <c r="P45" i="10" s="1"/>
  <c r="P45" i="11" s="1"/>
  <c r="O45" i="1"/>
  <c r="P45" i="1" s="1"/>
  <c r="O44" i="1"/>
  <c r="P44" i="1" s="1"/>
  <c r="O43" i="1"/>
  <c r="P43" i="1" s="1"/>
  <c r="O42" i="1"/>
  <c r="P42" i="1" s="1"/>
  <c r="P41" i="9" s="1"/>
  <c r="P41" i="10" s="1"/>
  <c r="P41" i="11" s="1"/>
  <c r="O41" i="1"/>
  <c r="P41" i="1" s="1"/>
  <c r="P40" i="9" s="1"/>
  <c r="P40" i="10" s="1"/>
  <c r="P40" i="11" s="1"/>
  <c r="O40" i="1"/>
  <c r="P40" i="1" s="1"/>
  <c r="P39" i="9" s="1"/>
  <c r="P39" i="10" s="1"/>
  <c r="P39" i="11" s="1"/>
  <c r="O39" i="1"/>
  <c r="P39" i="1" s="1"/>
  <c r="O38" i="1"/>
  <c r="P38" i="1" s="1"/>
  <c r="P37" i="9" s="1"/>
  <c r="P37" i="10" s="1"/>
  <c r="P37" i="11" s="1"/>
  <c r="O37" i="1"/>
  <c r="P37" i="1" s="1"/>
  <c r="O36" i="1"/>
  <c r="P36" i="1" s="1"/>
  <c r="O35" i="1"/>
  <c r="P35" i="1" s="1"/>
  <c r="P34" i="9" s="1"/>
  <c r="P34" i="10" s="1"/>
  <c r="P34" i="11" s="1"/>
  <c r="O34" i="1"/>
  <c r="P34" i="1" s="1"/>
  <c r="P33" i="9" s="1"/>
  <c r="P33" i="10" s="1"/>
  <c r="P33" i="11" s="1"/>
  <c r="O33" i="1"/>
  <c r="P33" i="1" s="1"/>
  <c r="P32" i="9" s="1"/>
  <c r="P32" i="10" s="1"/>
  <c r="P32" i="11" s="1"/>
  <c r="O32" i="1"/>
  <c r="P32" i="1" s="1"/>
  <c r="O31" i="1"/>
  <c r="P31" i="1" s="1"/>
  <c r="O30" i="1"/>
  <c r="P30" i="1" s="1"/>
  <c r="P29" i="9" s="1"/>
  <c r="P29" i="10" s="1"/>
  <c r="P29" i="11" s="1"/>
  <c r="O29" i="1"/>
  <c r="P29" i="1" s="1"/>
  <c r="O28" i="1"/>
  <c r="P28" i="1" s="1"/>
  <c r="O27" i="1"/>
  <c r="P27" i="1" s="1"/>
  <c r="P26" i="9" s="1"/>
  <c r="P26" i="10" s="1"/>
  <c r="P26" i="11" s="1"/>
  <c r="O26" i="1"/>
  <c r="P26" i="1" s="1"/>
  <c r="P25" i="9" s="1"/>
  <c r="P25" i="10" s="1"/>
  <c r="P25" i="11" s="1"/>
  <c r="O25" i="1"/>
  <c r="P25" i="1" s="1"/>
  <c r="P24" i="9" s="1"/>
  <c r="P24" i="10" s="1"/>
  <c r="P24" i="11" s="1"/>
  <c r="O24" i="1"/>
  <c r="P24" i="1" s="1"/>
  <c r="P23" i="9" s="1"/>
  <c r="P23" i="10" s="1"/>
  <c r="P23" i="11" s="1"/>
  <c r="O23" i="1"/>
  <c r="P23" i="1" s="1"/>
  <c r="O22" i="1"/>
  <c r="P22" i="1" s="1"/>
  <c r="P21" i="9" s="1"/>
  <c r="P21" i="10" s="1"/>
  <c r="P21" i="11" s="1"/>
  <c r="O21" i="1"/>
  <c r="P21" i="1" s="1"/>
  <c r="O20" i="1"/>
  <c r="P20" i="1" s="1"/>
  <c r="O19" i="1"/>
  <c r="P19" i="1" s="1"/>
  <c r="P18" i="9" s="1"/>
  <c r="P18" i="10" s="1"/>
  <c r="P18" i="11" s="1"/>
  <c r="P18" i="1"/>
  <c r="O18" i="1"/>
  <c r="O17" i="1"/>
  <c r="P17" i="1" s="1"/>
  <c r="O16" i="1"/>
  <c r="P16" i="1" s="1"/>
  <c r="P15" i="7" s="1"/>
  <c r="P15" i="8" s="1"/>
  <c r="P15" i="9" s="1"/>
  <c r="P15" i="10" s="1"/>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29" i="16"/>
  <c r="C28" i="16"/>
  <c r="C27" i="16"/>
  <c r="C26" i="16"/>
  <c r="C25" i="16"/>
  <c r="C24" i="16"/>
  <c r="C23" i="16"/>
  <c r="C22" i="16"/>
  <c r="C21" i="16"/>
  <c r="C20" i="16"/>
  <c r="C19" i="16"/>
  <c r="C18" i="16"/>
  <c r="C17" i="16"/>
  <c r="C16" i="16"/>
  <c r="C15" i="16"/>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5" i="10"/>
  <c r="C514" i="9"/>
  <c r="C513" i="9"/>
  <c r="C512" i="9"/>
  <c r="C511" i="9"/>
  <c r="C510" i="9"/>
  <c r="C509" i="9"/>
  <c r="C508" i="9"/>
  <c r="C507" i="9"/>
  <c r="C506" i="9"/>
  <c r="C505" i="9"/>
  <c r="C504" i="9"/>
  <c r="C503" i="9"/>
  <c r="C502" i="9"/>
  <c r="C501" i="9"/>
  <c r="C500" i="9"/>
  <c r="C499" i="9"/>
  <c r="C498" i="9"/>
  <c r="C497" i="9"/>
  <c r="C496" i="9"/>
  <c r="C495" i="9"/>
  <c r="C494" i="9"/>
  <c r="C493" i="9"/>
  <c r="C492" i="9"/>
  <c r="C491" i="9"/>
  <c r="C490" i="9"/>
  <c r="C489" i="9"/>
  <c r="C488" i="9"/>
  <c r="C487" i="9"/>
  <c r="C486" i="9"/>
  <c r="C485" i="9"/>
  <c r="C484" i="9"/>
  <c r="C483" i="9"/>
  <c r="C482" i="9"/>
  <c r="C481" i="9"/>
  <c r="C480" i="9"/>
  <c r="C479" i="9"/>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426" i="9"/>
  <c r="C425" i="9"/>
  <c r="C424" i="9"/>
  <c r="C423" i="9"/>
  <c r="C422" i="9"/>
  <c r="C421" i="9"/>
  <c r="C420" i="9"/>
  <c r="C419" i="9"/>
  <c r="C418" i="9"/>
  <c r="C417" i="9"/>
  <c r="C416" i="9"/>
  <c r="C415" i="9"/>
  <c r="C414" i="9"/>
  <c r="C413" i="9"/>
  <c r="C412" i="9"/>
  <c r="C411" i="9"/>
  <c r="C410" i="9"/>
  <c r="C409" i="9"/>
  <c r="C408" i="9"/>
  <c r="C407" i="9"/>
  <c r="C406" i="9"/>
  <c r="C405" i="9"/>
  <c r="C404" i="9"/>
  <c r="C403" i="9"/>
  <c r="C402" i="9"/>
  <c r="C401" i="9"/>
  <c r="C400" i="9"/>
  <c r="C399" i="9"/>
  <c r="C398" i="9"/>
  <c r="C397" i="9"/>
  <c r="C396" i="9"/>
  <c r="C395" i="9"/>
  <c r="C394" i="9"/>
  <c r="C393" i="9"/>
  <c r="C392" i="9"/>
  <c r="C391" i="9"/>
  <c r="C390" i="9"/>
  <c r="C389" i="9"/>
  <c r="C388" i="9"/>
  <c r="C387" i="9"/>
  <c r="C386" i="9"/>
  <c r="C385" i="9"/>
  <c r="C384" i="9"/>
  <c r="C383" i="9"/>
  <c r="C382" i="9"/>
  <c r="C381" i="9"/>
  <c r="C380" i="9"/>
  <c r="C379" i="9"/>
  <c r="C378" i="9"/>
  <c r="C377" i="9"/>
  <c r="C376" i="9"/>
  <c r="C375"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C340" i="9"/>
  <c r="C339" i="9"/>
  <c r="C338" i="9"/>
  <c r="C337" i="9"/>
  <c r="C336" i="9"/>
  <c r="C335" i="9"/>
  <c r="C334" i="9"/>
  <c r="C333" i="9"/>
  <c r="C332" i="9"/>
  <c r="C331" i="9"/>
  <c r="C330" i="9"/>
  <c r="C329" i="9"/>
  <c r="C328" i="9"/>
  <c r="C327" i="9"/>
  <c r="C326" i="9"/>
  <c r="C325" i="9"/>
  <c r="C324" i="9"/>
  <c r="C323" i="9"/>
  <c r="C322" i="9"/>
  <c r="C321" i="9"/>
  <c r="C320" i="9"/>
  <c r="C319" i="9"/>
  <c r="C318" i="9"/>
  <c r="C317" i="9"/>
  <c r="C316" i="9"/>
  <c r="C315"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274" i="9"/>
  <c r="C273" i="9"/>
  <c r="C272" i="9"/>
  <c r="C271" i="9"/>
  <c r="C270" i="9"/>
  <c r="C269" i="9"/>
  <c r="C268" i="9"/>
  <c r="C267" i="9"/>
  <c r="C266" i="9"/>
  <c r="C265" i="9"/>
  <c r="C264" i="9"/>
  <c r="C263" i="9"/>
  <c r="C262" i="9"/>
  <c r="C261" i="9"/>
  <c r="C260" i="9"/>
  <c r="C259" i="9"/>
  <c r="C258" i="9"/>
  <c r="C257" i="9"/>
  <c r="C256"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B16" i="1"/>
  <c r="B44"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29" i="16"/>
  <c r="B28" i="16"/>
  <c r="B27" i="16"/>
  <c r="B26" i="16"/>
  <c r="B25" i="16"/>
  <c r="B24" i="16"/>
  <c r="B23" i="16"/>
  <c r="B22" i="16"/>
  <c r="B21" i="16"/>
  <c r="B20" i="16"/>
  <c r="B19" i="16"/>
  <c r="B18" i="16"/>
  <c r="B17" i="16"/>
  <c r="B16" i="16"/>
  <c r="B15" i="16"/>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29" i="10"/>
  <c r="B28" i="10"/>
  <c r="B27" i="10"/>
  <c r="B26" i="10"/>
  <c r="B25" i="10"/>
  <c r="B24" i="10"/>
  <c r="B23" i="10"/>
  <c r="B22" i="10"/>
  <c r="B21" i="10"/>
  <c r="B20" i="10"/>
  <c r="B19" i="10"/>
  <c r="B18" i="10"/>
  <c r="B17" i="10"/>
  <c r="B16" i="10"/>
  <c r="B15" i="10"/>
  <c r="B514" i="9"/>
  <c r="B513" i="9"/>
  <c r="B512" i="9"/>
  <c r="B511" i="9"/>
  <c r="B510" i="9"/>
  <c r="B509" i="9"/>
  <c r="B508" i="9"/>
  <c r="B507" i="9"/>
  <c r="B506" i="9"/>
  <c r="B505" i="9"/>
  <c r="B504" i="9"/>
  <c r="B503" i="9"/>
  <c r="B502" i="9"/>
  <c r="B501" i="9"/>
  <c r="B500" i="9"/>
  <c r="B499" i="9"/>
  <c r="B498" i="9"/>
  <c r="B497" i="9"/>
  <c r="B496" i="9"/>
  <c r="B495" i="9"/>
  <c r="B494" i="9"/>
  <c r="B493" i="9"/>
  <c r="B492" i="9"/>
  <c r="B491" i="9"/>
  <c r="B490" i="9"/>
  <c r="B489" i="9"/>
  <c r="B488" i="9"/>
  <c r="B487" i="9"/>
  <c r="B486" i="9"/>
  <c r="B485" i="9"/>
  <c r="B484" i="9"/>
  <c r="B483" i="9"/>
  <c r="B482" i="9"/>
  <c r="B481" i="9"/>
  <c r="B480" i="9"/>
  <c r="B479" i="9"/>
  <c r="B478" i="9"/>
  <c r="B477" i="9"/>
  <c r="B476" i="9"/>
  <c r="B475" i="9"/>
  <c r="B474" i="9"/>
  <c r="B473" i="9"/>
  <c r="B472" i="9"/>
  <c r="B471" i="9"/>
  <c r="B470" i="9"/>
  <c r="B469" i="9"/>
  <c r="B468" i="9"/>
  <c r="B467" i="9"/>
  <c r="B466" i="9"/>
  <c r="B465" i="9"/>
  <c r="B464" i="9"/>
  <c r="B463" i="9"/>
  <c r="B462" i="9"/>
  <c r="B461" i="9"/>
  <c r="B460" i="9"/>
  <c r="B459" i="9"/>
  <c r="B458" i="9"/>
  <c r="B457" i="9"/>
  <c r="B456" i="9"/>
  <c r="B455" i="9"/>
  <c r="B454" i="9"/>
  <c r="B453" i="9"/>
  <c r="B452" i="9"/>
  <c r="B451" i="9"/>
  <c r="B450" i="9"/>
  <c r="B449" i="9"/>
  <c r="B448" i="9"/>
  <c r="B447" i="9"/>
  <c r="B446" i="9"/>
  <c r="B445" i="9"/>
  <c r="B444" i="9"/>
  <c r="B443" i="9"/>
  <c r="B442" i="9"/>
  <c r="B441" i="9"/>
  <c r="B440" i="9"/>
  <c r="B439" i="9"/>
  <c r="B438" i="9"/>
  <c r="B437" i="9"/>
  <c r="B436" i="9"/>
  <c r="B435" i="9"/>
  <c r="B434" i="9"/>
  <c r="B433" i="9"/>
  <c r="B432" i="9"/>
  <c r="B431" i="9"/>
  <c r="B430" i="9"/>
  <c r="B429" i="9"/>
  <c r="B428" i="9"/>
  <c r="B427" i="9"/>
  <c r="B426" i="9"/>
  <c r="B425" i="9"/>
  <c r="B424" i="9"/>
  <c r="B423" i="9"/>
  <c r="B422" i="9"/>
  <c r="B421" i="9"/>
  <c r="B420" i="9"/>
  <c r="B419" i="9"/>
  <c r="B418" i="9"/>
  <c r="B417" i="9"/>
  <c r="B416" i="9"/>
  <c r="B415" i="9"/>
  <c r="B414" i="9"/>
  <c r="B413" i="9"/>
  <c r="B412" i="9"/>
  <c r="B411" i="9"/>
  <c r="B410" i="9"/>
  <c r="B409" i="9"/>
  <c r="B408" i="9"/>
  <c r="B407" i="9"/>
  <c r="B406" i="9"/>
  <c r="B405" i="9"/>
  <c r="B404" i="9"/>
  <c r="B403" i="9"/>
  <c r="B402" i="9"/>
  <c r="B401" i="9"/>
  <c r="B400" i="9"/>
  <c r="B399" i="9"/>
  <c r="B398" i="9"/>
  <c r="B397" i="9"/>
  <c r="B396" i="9"/>
  <c r="B395" i="9"/>
  <c r="B394" i="9"/>
  <c r="B393" i="9"/>
  <c r="B392" i="9"/>
  <c r="B391" i="9"/>
  <c r="B390" i="9"/>
  <c r="B389" i="9"/>
  <c r="B388" i="9"/>
  <c r="B387" i="9"/>
  <c r="B386" i="9"/>
  <c r="B385" i="9"/>
  <c r="B384" i="9"/>
  <c r="B383" i="9"/>
  <c r="B382" i="9"/>
  <c r="B381" i="9"/>
  <c r="B380" i="9"/>
  <c r="B379" i="9"/>
  <c r="B378" i="9"/>
  <c r="B377" i="9"/>
  <c r="B376" i="9"/>
  <c r="B375" i="9"/>
  <c r="B374" i="9"/>
  <c r="B373" i="9"/>
  <c r="B372" i="9"/>
  <c r="B371" i="9"/>
  <c r="B370" i="9"/>
  <c r="B369" i="9"/>
  <c r="B368" i="9"/>
  <c r="B367" i="9"/>
  <c r="B366" i="9"/>
  <c r="B365" i="9"/>
  <c r="B364" i="9"/>
  <c r="B363" i="9"/>
  <c r="B362" i="9"/>
  <c r="B361" i="9"/>
  <c r="B360" i="9"/>
  <c r="B359" i="9"/>
  <c r="B358" i="9"/>
  <c r="B357" i="9"/>
  <c r="B356" i="9"/>
  <c r="B355" i="9"/>
  <c r="B354" i="9"/>
  <c r="B353" i="9"/>
  <c r="B352" i="9"/>
  <c r="B351" i="9"/>
  <c r="B350" i="9"/>
  <c r="B349" i="9"/>
  <c r="B348" i="9"/>
  <c r="B347" i="9"/>
  <c r="B346" i="9"/>
  <c r="B345" i="9"/>
  <c r="B344" i="9"/>
  <c r="B343" i="9"/>
  <c r="B342" i="9"/>
  <c r="B341" i="9"/>
  <c r="B340" i="9"/>
  <c r="B339" i="9"/>
  <c r="B338" i="9"/>
  <c r="B337"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6" i="9"/>
  <c r="B285" i="9"/>
  <c r="B284" i="9"/>
  <c r="B283"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W15" i="17"/>
  <c r="W29" i="16"/>
  <c r="W28" i="16"/>
  <c r="W27" i="16"/>
  <c r="W26" i="16"/>
  <c r="W25" i="16"/>
  <c r="W24" i="16"/>
  <c r="W23" i="16"/>
  <c r="W22" i="16"/>
  <c r="W21" i="16"/>
  <c r="W20" i="16"/>
  <c r="W19" i="16"/>
  <c r="W18" i="16"/>
  <c r="W17" i="16"/>
  <c r="W16" i="16"/>
  <c r="W15" i="16"/>
  <c r="W15" i="15"/>
  <c r="W15" i="14"/>
  <c r="W15" i="13"/>
  <c r="W15" i="12"/>
  <c r="W15" i="11"/>
  <c r="W15" i="10"/>
  <c r="W15" i="9"/>
  <c r="W15" i="8"/>
  <c r="W15" i="7"/>
  <c r="W515" i="1"/>
  <c r="W514" i="1"/>
  <c r="W513" i="1"/>
  <c r="W512" i="1"/>
  <c r="W511" i="1"/>
  <c r="W510" i="1"/>
  <c r="W509" i="1"/>
  <c r="W508" i="1"/>
  <c r="W507" i="1"/>
  <c r="W506" i="1"/>
  <c r="W505" i="1"/>
  <c r="W504" i="1"/>
  <c r="W503" i="1"/>
  <c r="W502" i="1"/>
  <c r="W501" i="1"/>
  <c r="W500" i="1"/>
  <c r="W499" i="1"/>
  <c r="W498" i="1"/>
  <c r="W497" i="1"/>
  <c r="W496" i="1"/>
  <c r="W495" i="1"/>
  <c r="W494" i="1"/>
  <c r="W493" i="1"/>
  <c r="W492" i="1"/>
  <c r="W491" i="1"/>
  <c r="W490" i="1"/>
  <c r="W489" i="1"/>
  <c r="W488" i="1"/>
  <c r="W487" i="1"/>
  <c r="W486" i="1"/>
  <c r="W485" i="1"/>
  <c r="W484" i="1"/>
  <c r="W483" i="1"/>
  <c r="W482" i="1"/>
  <c r="W481" i="1"/>
  <c r="W480" i="1"/>
  <c r="W479" i="1"/>
  <c r="W478" i="1"/>
  <c r="W477" i="1"/>
  <c r="W476" i="1"/>
  <c r="W475" i="1"/>
  <c r="W474" i="1"/>
  <c r="W473" i="1"/>
  <c r="W472" i="1"/>
  <c r="W471" i="1"/>
  <c r="W470" i="1"/>
  <c r="W469" i="1"/>
  <c r="W468" i="1"/>
  <c r="W467" i="1"/>
  <c r="W466" i="1"/>
  <c r="W465" i="1"/>
  <c r="W464" i="1"/>
  <c r="W463" i="1"/>
  <c r="W462" i="1"/>
  <c r="W461" i="1"/>
  <c r="W460" i="1"/>
  <c r="W459" i="1"/>
  <c r="W458" i="1"/>
  <c r="W457" i="1"/>
  <c r="W456" i="1"/>
  <c r="W455" i="1"/>
  <c r="W454" i="1"/>
  <c r="W453" i="1"/>
  <c r="W452" i="1"/>
  <c r="W451" i="1"/>
  <c r="W450" i="1"/>
  <c r="W449" i="1"/>
  <c r="W448" i="1"/>
  <c r="W447" i="1"/>
  <c r="W446" i="1"/>
  <c r="W445" i="1"/>
  <c r="W444" i="1"/>
  <c r="W443" i="1"/>
  <c r="W442" i="1"/>
  <c r="W441" i="1"/>
  <c r="W440" i="1"/>
  <c r="W439" i="1"/>
  <c r="W438" i="1"/>
  <c r="W437" i="1"/>
  <c r="W436" i="1"/>
  <c r="W435" i="1"/>
  <c r="W434" i="1"/>
  <c r="W433" i="1"/>
  <c r="W432" i="1"/>
  <c r="W431" i="1"/>
  <c r="W430" i="1"/>
  <c r="W429" i="1"/>
  <c r="W428" i="1"/>
  <c r="W427" i="1"/>
  <c r="W426" i="1"/>
  <c r="W425" i="1"/>
  <c r="W424" i="1"/>
  <c r="W423" i="1"/>
  <c r="W422" i="1"/>
  <c r="W421" i="1"/>
  <c r="W420" i="1"/>
  <c r="W419" i="1"/>
  <c r="W418" i="1"/>
  <c r="W417" i="1"/>
  <c r="W416" i="1"/>
  <c r="W415" i="1"/>
  <c r="W414" i="1"/>
  <c r="W413" i="1"/>
  <c r="W412" i="1"/>
  <c r="W411" i="1"/>
  <c r="W410" i="1"/>
  <c r="W409" i="1"/>
  <c r="W408" i="1"/>
  <c r="W407" i="1"/>
  <c r="W406" i="1"/>
  <c r="W405" i="1"/>
  <c r="W404" i="1"/>
  <c r="W403" i="1"/>
  <c r="W402" i="1"/>
  <c r="W401" i="1"/>
  <c r="W400" i="1"/>
  <c r="W399" i="1"/>
  <c r="W398" i="1"/>
  <c r="W397"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303" i="1"/>
  <c r="W302" i="1"/>
  <c r="W301" i="1"/>
  <c r="W300" i="1"/>
  <c r="W299" i="1"/>
  <c r="W298" i="1"/>
  <c r="W297" i="1"/>
  <c r="W296" i="1"/>
  <c r="W295" i="1"/>
  <c r="W294" i="1"/>
  <c r="W293" i="1"/>
  <c r="W292" i="1"/>
  <c r="W291" i="1"/>
  <c r="W290" i="1"/>
  <c r="W289" i="1"/>
  <c r="W288" i="1"/>
  <c r="W287" i="1"/>
  <c r="W286" i="1"/>
  <c r="W285" i="1"/>
  <c r="W284" i="1"/>
  <c r="W283" i="1"/>
  <c r="W282" i="1"/>
  <c r="W281" i="1"/>
  <c r="W280" i="1"/>
  <c r="W279" i="1"/>
  <c r="W278" i="1"/>
  <c r="W277" i="1"/>
  <c r="W276" i="1"/>
  <c r="W275" i="1"/>
  <c r="W274" i="1"/>
  <c r="W273" i="1"/>
  <c r="W272" i="1"/>
  <c r="W271" i="1"/>
  <c r="W270" i="1"/>
  <c r="W269" i="1"/>
  <c r="W268" i="1"/>
  <c r="W267" i="1"/>
  <c r="W266" i="1"/>
  <c r="W265" i="1"/>
  <c r="W264" i="1"/>
  <c r="W263" i="1"/>
  <c r="W262" i="1"/>
  <c r="W261" i="1"/>
  <c r="W260" i="1"/>
  <c r="W259" i="1"/>
  <c r="W258" i="1"/>
  <c r="W257" i="1"/>
  <c r="W256" i="1"/>
  <c r="W255" i="1"/>
  <c r="W254" i="1"/>
  <c r="W253" i="1"/>
  <c r="W252" i="1"/>
  <c r="W251" i="1"/>
  <c r="W250" i="1"/>
  <c r="W249" i="1"/>
  <c r="W248" i="1"/>
  <c r="W247" i="1"/>
  <c r="W246" i="1"/>
  <c r="W245" i="1"/>
  <c r="W244" i="1"/>
  <c r="W243" i="1"/>
  <c r="W242" i="1"/>
  <c r="W241" i="1"/>
  <c r="W240" i="1"/>
  <c r="W239" i="1"/>
  <c r="W238" i="1"/>
  <c r="W237" i="1"/>
  <c r="W236" i="1"/>
  <c r="W235" i="1"/>
  <c r="W234" i="1"/>
  <c r="W233" i="1"/>
  <c r="W232" i="1"/>
  <c r="W231" i="1"/>
  <c r="W230" i="1"/>
  <c r="W229" i="1"/>
  <c r="W228" i="1"/>
  <c r="W227" i="1"/>
  <c r="W226" i="1"/>
  <c r="W225" i="1"/>
  <c r="W224" i="1"/>
  <c r="W223" i="1"/>
  <c r="W222" i="1"/>
  <c r="W221" i="1"/>
  <c r="W220" i="1"/>
  <c r="W219" i="1"/>
  <c r="W218" i="1"/>
  <c r="W217"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N5" i="1"/>
  <c r="X88" i="19" l="1"/>
  <c r="P42" i="9"/>
  <c r="P42" i="10" s="1"/>
  <c r="P42" i="11" s="1"/>
  <c r="P19" i="9"/>
  <c r="P27" i="9"/>
  <c r="P35" i="9"/>
  <c r="P35" i="10" s="1"/>
  <c r="P35" i="11" s="1"/>
  <c r="P43" i="9"/>
  <c r="P43" i="10" s="1"/>
  <c r="P43" i="11" s="1"/>
  <c r="P17" i="9"/>
  <c r="P16" i="9"/>
  <c r="P20" i="9"/>
  <c r="P28" i="9"/>
  <c r="P36" i="9"/>
  <c r="P36" i="10" s="1"/>
  <c r="P36" i="11" s="1"/>
  <c r="P44" i="9"/>
  <c r="P44" i="10" s="1"/>
  <c r="P44" i="11" s="1"/>
  <c r="P22" i="9"/>
  <c r="P30" i="9"/>
  <c r="P30" i="10" s="1"/>
  <c r="P30" i="11" s="1"/>
  <c r="P38" i="9"/>
  <c r="P38" i="10" s="1"/>
  <c r="P38" i="11" s="1"/>
  <c r="P25" i="16"/>
  <c r="P18" i="16"/>
  <c r="P26" i="16"/>
  <c r="X77" i="19"/>
  <c r="P21" i="16"/>
  <c r="P29" i="16"/>
  <c r="X76" i="19"/>
  <c r="P24" i="16"/>
  <c r="P15" i="11"/>
  <c r="P15" i="12" s="1"/>
  <c r="P15" i="13" s="1"/>
  <c r="P15" i="14" s="1"/>
  <c r="P15" i="15" s="1"/>
  <c r="P15" i="16" s="1"/>
  <c r="P15" i="17" s="1"/>
  <c r="P23" i="16"/>
  <c r="X56" i="19"/>
  <c r="X57" i="19"/>
  <c r="X59" i="19"/>
  <c r="X68" i="19"/>
  <c r="X67" i="19"/>
  <c r="X69" i="19"/>
  <c r="Q70" i="19"/>
  <c r="L74" i="19"/>
  <c r="T74" i="19"/>
  <c r="P94" i="19"/>
  <c r="P60" i="19"/>
  <c r="R60" i="19"/>
  <c r="S60" i="19"/>
  <c r="L60" i="19"/>
  <c r="M60" i="19"/>
  <c r="U60" i="19"/>
  <c r="O60" i="19"/>
  <c r="W60" i="19"/>
  <c r="Q60" i="19"/>
  <c r="O70" i="19"/>
  <c r="W70" i="19"/>
  <c r="S74" i="19"/>
  <c r="L70" i="19"/>
  <c r="T70" i="19"/>
  <c r="P74" i="19"/>
  <c r="N74" i="19"/>
  <c r="V74" i="19"/>
  <c r="S70" i="19"/>
  <c r="R94" i="19"/>
  <c r="N70" i="19"/>
  <c r="V70" i="19"/>
  <c r="U74" i="19"/>
  <c r="O94" i="19"/>
  <c r="W94" i="19"/>
  <c r="V60" i="19"/>
  <c r="P70" i="19"/>
  <c r="S94" i="19"/>
  <c r="N60" i="19"/>
  <c r="M70" i="19"/>
  <c r="U70" i="19"/>
  <c r="R74" i="19"/>
  <c r="L94" i="19"/>
  <c r="R70" i="19"/>
  <c r="O74" i="19"/>
  <c r="W74" i="19"/>
  <c r="M94" i="19"/>
  <c r="U94" i="19"/>
  <c r="N94" i="19"/>
  <c r="V94" i="19"/>
  <c r="X85" i="19"/>
  <c r="X86" i="19" s="1"/>
  <c r="M74" i="19"/>
  <c r="J48" i="19"/>
  <c r="J16" i="19"/>
  <c r="J43" i="19"/>
  <c r="J22" i="19"/>
  <c r="J30" i="19"/>
  <c r="J53" i="19"/>
  <c r="J34" i="19"/>
  <c r="J8" i="18"/>
  <c r="E8" i="18"/>
  <c r="E6" i="18"/>
  <c r="W8" i="18"/>
  <c r="W7" i="18"/>
  <c r="W6" i="18"/>
  <c r="W5" i="18"/>
  <c r="W4" i="18"/>
  <c r="G5" i="5"/>
  <c r="E5" i="18"/>
  <c r="E4" i="18"/>
  <c r="D5" i="4"/>
  <c r="P16" i="10" l="1"/>
  <c r="P16" i="11" s="1"/>
  <c r="P16" i="16" s="1"/>
  <c r="P17" i="10"/>
  <c r="P17" i="11" s="1"/>
  <c r="P17" i="16" s="1"/>
  <c r="P20" i="10"/>
  <c r="P20" i="11" s="1"/>
  <c r="P20" i="16" s="1"/>
  <c r="P22" i="10"/>
  <c r="P22" i="11" s="1"/>
  <c r="P22" i="16" s="1"/>
  <c r="P27" i="10"/>
  <c r="P27" i="11" s="1"/>
  <c r="P27" i="16" s="1"/>
  <c r="P19" i="10"/>
  <c r="P19" i="11" s="1"/>
  <c r="P19" i="16" s="1"/>
  <c r="P28" i="10"/>
  <c r="P28" i="11" s="1"/>
  <c r="P28" i="16" s="1"/>
  <c r="X74" i="19"/>
  <c r="X70" i="19"/>
  <c r="G5" i="4"/>
  <c r="E9" i="5"/>
  <c r="E9" i="4"/>
  <c r="D9" i="5"/>
  <c r="D7" i="5"/>
  <c r="D6" i="5"/>
  <c r="D5" i="5"/>
  <c r="A2" i="18"/>
  <c r="A1" i="18"/>
  <c r="A2" i="5"/>
  <c r="AH107" i="6" l="1"/>
  <c r="AD107" i="6"/>
  <c r="Z107" i="6"/>
  <c r="X107" i="6"/>
  <c r="T107" i="6"/>
  <c r="P107" i="6"/>
  <c r="AF107" i="6"/>
  <c r="AB107" i="6"/>
  <c r="V107" i="6"/>
  <c r="R107" i="6"/>
  <c r="N107" i="6"/>
  <c r="L107" i="6"/>
  <c r="L104" i="6"/>
  <c r="AH103" i="6"/>
  <c r="AF103" i="6"/>
  <c r="AD103" i="6"/>
  <c r="AB103" i="6"/>
  <c r="Z103" i="6"/>
  <c r="X103" i="6"/>
  <c r="V103" i="6"/>
  <c r="T103" i="6"/>
  <c r="R103" i="6"/>
  <c r="P103" i="6"/>
  <c r="N103" i="6"/>
  <c r="L103" i="6"/>
  <c r="AH104" i="6"/>
  <c r="AH101" i="6"/>
  <c r="AF104" i="6"/>
  <c r="AF101" i="6"/>
  <c r="AD104" i="6"/>
  <c r="AD101" i="6"/>
  <c r="AB104" i="6"/>
  <c r="AB101" i="6"/>
  <c r="Z104" i="6"/>
  <c r="Z101" i="6"/>
  <c r="X104" i="6"/>
  <c r="X101" i="6"/>
  <c r="V104" i="6"/>
  <c r="T104" i="6"/>
  <c r="T101" i="6"/>
  <c r="R104" i="6"/>
  <c r="R101" i="6"/>
  <c r="P104" i="6"/>
  <c r="P101" i="6"/>
  <c r="N104" i="6"/>
  <c r="N101" i="6"/>
  <c r="L100" i="6"/>
  <c r="Z98" i="6"/>
  <c r="V101" i="6"/>
  <c r="L101" i="6"/>
  <c r="AH100" i="6"/>
  <c r="AF100" i="6"/>
  <c r="AD100" i="6"/>
  <c r="AB100" i="6"/>
  <c r="Z100" i="6"/>
  <c r="X100" i="6"/>
  <c r="V100" i="6"/>
  <c r="T100" i="6"/>
  <c r="R100" i="6"/>
  <c r="P100" i="6"/>
  <c r="N100" i="6"/>
  <c r="AH98" i="6"/>
  <c r="AF98" i="6"/>
  <c r="AD98" i="6"/>
  <c r="AB98" i="6"/>
  <c r="X98" i="6"/>
  <c r="V98" i="6"/>
  <c r="T98" i="6"/>
  <c r="R98" i="6"/>
  <c r="P98" i="6"/>
  <c r="N98" i="6"/>
  <c r="L97" i="6"/>
  <c r="AH97" i="6"/>
  <c r="AJ107" i="6" l="1"/>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F97" i="6"/>
  <c r="AD97" i="6"/>
  <c r="AB97" i="6"/>
  <c r="Z97" i="6"/>
  <c r="X97" i="6"/>
  <c r="V97" i="6"/>
  <c r="T97" i="6"/>
  <c r="R97" i="6"/>
  <c r="P97" i="6"/>
  <c r="N97" i="6"/>
  <c r="L98" i="6"/>
  <c r="AJ97" i="6" l="1"/>
  <c r="AJ98" i="6"/>
  <c r="L93" i="6"/>
  <c r="L92" i="6"/>
  <c r="L91" i="6"/>
  <c r="L89" i="6"/>
  <c r="L88" i="6"/>
  <c r="L90" i="6"/>
  <c r="AH93" i="6"/>
  <c r="AH92" i="6"/>
  <c r="AH91" i="6"/>
  <c r="AH90" i="6"/>
  <c r="AH89" i="6"/>
  <c r="AH88" i="6"/>
  <c r="AF93" i="6"/>
  <c r="AF92" i="6"/>
  <c r="AF91" i="6"/>
  <c r="AF90" i="6"/>
  <c r="AF89" i="6"/>
  <c r="AF88" i="6"/>
  <c r="AD93" i="6"/>
  <c r="AD92" i="6"/>
  <c r="AD91" i="6"/>
  <c r="AD90" i="6"/>
  <c r="AD89" i="6"/>
  <c r="AD88" i="6"/>
  <c r="AB93" i="6"/>
  <c r="AB92" i="6"/>
  <c r="AB91" i="6"/>
  <c r="AB90" i="6"/>
  <c r="AB89" i="6"/>
  <c r="AB88" i="6"/>
  <c r="Z93" i="6"/>
  <c r="Z92" i="6"/>
  <c r="Z91" i="6"/>
  <c r="Z90" i="6"/>
  <c r="Z89" i="6"/>
  <c r="Z88" i="6"/>
  <c r="X93" i="6"/>
  <c r="X92" i="6"/>
  <c r="X91" i="6"/>
  <c r="X90" i="6"/>
  <c r="X89" i="6"/>
  <c r="X88" i="6"/>
  <c r="V93" i="6"/>
  <c r="V92" i="6"/>
  <c r="V91" i="6"/>
  <c r="V90" i="6"/>
  <c r="V89" i="6"/>
  <c r="V88" i="6"/>
  <c r="T93" i="6"/>
  <c r="T92" i="6"/>
  <c r="T91" i="6"/>
  <c r="T90" i="6"/>
  <c r="T89" i="6"/>
  <c r="T88" i="6"/>
  <c r="R93" i="6"/>
  <c r="R92" i="6"/>
  <c r="R91" i="6"/>
  <c r="R90" i="6"/>
  <c r="R89" i="6"/>
  <c r="R88" i="6"/>
  <c r="P93" i="6"/>
  <c r="P92" i="6"/>
  <c r="P91" i="6"/>
  <c r="P90" i="6"/>
  <c r="P89" i="6"/>
  <c r="P88" i="6"/>
  <c r="N93" i="6"/>
  <c r="N92" i="6"/>
  <c r="N91" i="6"/>
  <c r="N90" i="6"/>
  <c r="N89" i="6"/>
  <c r="AH85" i="6"/>
  <c r="AH84" i="6"/>
  <c r="AF85" i="6"/>
  <c r="AF84" i="6"/>
  <c r="AD85" i="6"/>
  <c r="AD84" i="6"/>
  <c r="AB85" i="6"/>
  <c r="AB84" i="6"/>
  <c r="Z85" i="6"/>
  <c r="Z84" i="6"/>
  <c r="X85" i="6"/>
  <c r="X84" i="6"/>
  <c r="V85" i="6"/>
  <c r="V84" i="6"/>
  <c r="T85" i="6"/>
  <c r="T84" i="6"/>
  <c r="R85" i="6"/>
  <c r="R84" i="6"/>
  <c r="P85" i="6"/>
  <c r="P84" i="6"/>
  <c r="N85" i="6"/>
  <c r="N84" i="6"/>
  <c r="L85" i="6"/>
  <c r="L84" i="6"/>
  <c r="AH81" i="6"/>
  <c r="AF81" i="6"/>
  <c r="AD81" i="6"/>
  <c r="AB81" i="6"/>
  <c r="Z81" i="6"/>
  <c r="X81" i="6"/>
  <c r="V81" i="6"/>
  <c r="T81" i="6"/>
  <c r="R81" i="6"/>
  <c r="P81" i="6"/>
  <c r="N81" i="6"/>
  <c r="L81" i="6"/>
  <c r="AH80" i="6"/>
  <c r="AF80" i="6"/>
  <c r="AD80" i="6"/>
  <c r="AB80" i="6"/>
  <c r="Z80" i="6"/>
  <c r="X80" i="6"/>
  <c r="V80" i="6"/>
  <c r="T80" i="6"/>
  <c r="R80" i="6"/>
  <c r="P80" i="6"/>
  <c r="N80" i="6"/>
  <c r="L80" i="6"/>
  <c r="AH79" i="6"/>
  <c r="AF79" i="6"/>
  <c r="AD79" i="6"/>
  <c r="AB79" i="6"/>
  <c r="Z79" i="6"/>
  <c r="X79" i="6"/>
  <c r="V79" i="6"/>
  <c r="T79" i="6"/>
  <c r="R79" i="6"/>
  <c r="P79" i="6"/>
  <c r="N79" i="6"/>
  <c r="L79" i="6"/>
  <c r="AH68" i="6"/>
  <c r="AF68" i="6"/>
  <c r="AH69" i="6"/>
  <c r="AF69" i="6"/>
  <c r="AD69" i="6"/>
  <c r="AB69" i="6"/>
  <c r="Z69" i="6"/>
  <c r="X69" i="6"/>
  <c r="V69" i="6"/>
  <c r="T69" i="6"/>
  <c r="R69" i="6"/>
  <c r="P69" i="6"/>
  <c r="N69" i="6"/>
  <c r="L69" i="6"/>
  <c r="AD68" i="6"/>
  <c r="AB68" i="6"/>
  <c r="Z68" i="6"/>
  <c r="X68" i="6"/>
  <c r="V68" i="6"/>
  <c r="T68" i="6"/>
  <c r="R68" i="6"/>
  <c r="P68" i="6"/>
  <c r="N68" i="6"/>
  <c r="L68" i="6"/>
  <c r="AH67" i="6"/>
  <c r="AF67" i="6"/>
  <c r="AD67" i="6"/>
  <c r="AB67" i="6"/>
  <c r="Z67" i="6"/>
  <c r="X67" i="6"/>
  <c r="V67" i="6"/>
  <c r="T67" i="6"/>
  <c r="R67" i="6"/>
  <c r="P67" i="6"/>
  <c r="N67" i="6"/>
  <c r="L67" i="6"/>
  <c r="AH77" i="6"/>
  <c r="AH76" i="6"/>
  <c r="AF77" i="6"/>
  <c r="AF76" i="6"/>
  <c r="AD77" i="6"/>
  <c r="AD76" i="6"/>
  <c r="AB77" i="6"/>
  <c r="AB76" i="6"/>
  <c r="Z77" i="6"/>
  <c r="Z76" i="6"/>
  <c r="X77" i="6"/>
  <c r="X76" i="6"/>
  <c r="V77" i="6"/>
  <c r="V76" i="6"/>
  <c r="T77" i="6"/>
  <c r="T76" i="6"/>
  <c r="R77" i="6"/>
  <c r="R76" i="6"/>
  <c r="P77" i="6"/>
  <c r="P76" i="6"/>
  <c r="N77" i="6"/>
  <c r="N76" i="6"/>
  <c r="L77" i="6"/>
  <c r="L76" i="6"/>
  <c r="AH73" i="6"/>
  <c r="AF73" i="6"/>
  <c r="AD73" i="6"/>
  <c r="AB73" i="6"/>
  <c r="Z73" i="6"/>
  <c r="X73" i="6"/>
  <c r="V73" i="6"/>
  <c r="T73" i="6"/>
  <c r="R73" i="6"/>
  <c r="P73" i="6"/>
  <c r="N73" i="6"/>
  <c r="L73" i="6"/>
  <c r="AH72" i="6"/>
  <c r="AF72" i="6"/>
  <c r="AD72" i="6"/>
  <c r="AB72" i="6"/>
  <c r="Z72" i="6"/>
  <c r="X72" i="6"/>
  <c r="V72" i="6"/>
  <c r="T72" i="6"/>
  <c r="R72" i="6"/>
  <c r="P72" i="6"/>
  <c r="N72" i="6"/>
  <c r="L72" i="6"/>
  <c r="AH64" i="6"/>
  <c r="AH63" i="6"/>
  <c r="AF63" i="6"/>
  <c r="Z63" i="6"/>
  <c r="X64" i="6"/>
  <c r="T64" i="6"/>
  <c r="X63" i="6"/>
  <c r="V64" i="6"/>
  <c r="V63" i="6"/>
  <c r="R64" i="6"/>
  <c r="R63" i="6"/>
  <c r="AF64" i="6"/>
  <c r="AD64" i="6"/>
  <c r="AB64" i="6"/>
  <c r="Z64" i="6"/>
  <c r="P64" i="6"/>
  <c r="N64" i="6"/>
  <c r="L64" i="6"/>
  <c r="N63" i="6"/>
  <c r="AD63" i="6"/>
  <c r="AB63" i="6"/>
  <c r="T63" i="6"/>
  <c r="P63" i="6"/>
  <c r="L63" i="6"/>
  <c r="L60" i="6"/>
  <c r="N58" i="6"/>
  <c r="L59" i="6"/>
  <c r="L58" i="6"/>
  <c r="N60" i="6"/>
  <c r="AH58" i="6"/>
  <c r="AF58" i="6"/>
  <c r="AD58" i="6"/>
  <c r="AB58" i="6"/>
  <c r="Z59" i="6"/>
  <c r="Z58" i="6"/>
  <c r="X59" i="6"/>
  <c r="X58" i="6"/>
  <c r="V58" i="6"/>
  <c r="T58" i="6"/>
  <c r="R58" i="6"/>
  <c r="P60" i="6"/>
  <c r="P59" i="6"/>
  <c r="P58" i="6"/>
  <c r="P57" i="6"/>
  <c r="AH60" i="6"/>
  <c r="AH59" i="6"/>
  <c r="N59" i="6"/>
  <c r="N61" i="6" s="1"/>
  <c r="AF60" i="6"/>
  <c r="AD60" i="6"/>
  <c r="AB60" i="6"/>
  <c r="Z60" i="6"/>
  <c r="X60" i="6"/>
  <c r="V60" i="6"/>
  <c r="T60" i="6"/>
  <c r="R60" i="6"/>
  <c r="AF59" i="6"/>
  <c r="AD59" i="6"/>
  <c r="AB59" i="6"/>
  <c r="V59" i="6"/>
  <c r="T59" i="6"/>
  <c r="R59" i="6"/>
  <c r="AH57" i="6"/>
  <c r="AF57" i="6"/>
  <c r="AD57" i="6"/>
  <c r="AB57" i="6"/>
  <c r="Z57" i="6"/>
  <c r="X57" i="6"/>
  <c r="V57" i="6"/>
  <c r="T57" i="6"/>
  <c r="R57" i="6"/>
  <c r="J53" i="6"/>
  <c r="Z61" i="6" l="1"/>
  <c r="AH61" i="6"/>
  <c r="AM97" i="6"/>
  <c r="T61" i="6"/>
  <c r="X82" i="6"/>
  <c r="T82" i="6"/>
  <c r="R82" i="6"/>
  <c r="AH82" i="6"/>
  <c r="AB61" i="6"/>
  <c r="L61" i="6"/>
  <c r="R61" i="6"/>
  <c r="V82" i="6"/>
  <c r="Z82" i="6"/>
  <c r="L82" i="6"/>
  <c r="AB82" i="6"/>
  <c r="P82" i="6"/>
  <c r="AF82" i="6"/>
  <c r="N82" i="6"/>
  <c r="AD82" i="6"/>
  <c r="V61" i="6"/>
  <c r="P61" i="6"/>
  <c r="X61" i="6"/>
  <c r="AD61" i="6"/>
  <c r="AF61" i="6"/>
  <c r="AJ64" i="6"/>
  <c r="AJ81" i="6"/>
  <c r="AJ63" i="6"/>
  <c r="AJ58" i="6"/>
  <c r="AJ60" i="6"/>
  <c r="AH53" i="6" l="1"/>
  <c r="AF53" i="6"/>
  <c r="AF51" i="6"/>
  <c r="AD53" i="6"/>
  <c r="AB53" i="6"/>
  <c r="Z53" i="6"/>
  <c r="X53" i="6"/>
  <c r="V53" i="6"/>
  <c r="T53" i="6"/>
  <c r="R53" i="6"/>
  <c r="P53" i="6"/>
  <c r="N53" i="6"/>
  <c r="L53" i="6"/>
  <c r="J52" i="6"/>
  <c r="AH52" i="6"/>
  <c r="AF52" i="6"/>
  <c r="AD52" i="6"/>
  <c r="AB52" i="6"/>
  <c r="Z52" i="6"/>
  <c r="X52" i="6"/>
  <c r="V52" i="6"/>
  <c r="T52" i="6"/>
  <c r="R52" i="6"/>
  <c r="P52" i="6"/>
  <c r="N52" i="6"/>
  <c r="L52" i="6"/>
  <c r="AH51" i="6"/>
  <c r="AD51" i="6"/>
  <c r="AB51" i="6"/>
  <c r="Z51" i="6"/>
  <c r="X51" i="6"/>
  <c r="V51" i="6"/>
  <c r="T51" i="6"/>
  <c r="R51" i="6"/>
  <c r="P51" i="6"/>
  <c r="N51" i="6"/>
  <c r="J51" i="6"/>
  <c r="AH48" i="6"/>
  <c r="AF48" i="6"/>
  <c r="AD48" i="6"/>
  <c r="AB48" i="6"/>
  <c r="Z48" i="6"/>
  <c r="X48" i="6"/>
  <c r="V48" i="6"/>
  <c r="T48" i="6"/>
  <c r="R48" i="6"/>
  <c r="P48" i="6"/>
  <c r="N48" i="6"/>
  <c r="L48" i="6"/>
  <c r="J48" i="6"/>
  <c r="AH46" i="6"/>
  <c r="AF46" i="6"/>
  <c r="AD46" i="6"/>
  <c r="AB46" i="6"/>
  <c r="Z46" i="6"/>
  <c r="X46" i="6"/>
  <c r="V46" i="6"/>
  <c r="T46" i="6"/>
  <c r="R46" i="6"/>
  <c r="P46" i="6"/>
  <c r="N46" i="6"/>
  <c r="J46" i="6"/>
  <c r="J47" i="6"/>
  <c r="AH47" i="6"/>
  <c r="AF47" i="6"/>
  <c r="AD47" i="6"/>
  <c r="AB47" i="6"/>
  <c r="Z47" i="6"/>
  <c r="X47" i="6"/>
  <c r="V47" i="6"/>
  <c r="T47" i="6"/>
  <c r="R47" i="6"/>
  <c r="P47" i="6"/>
  <c r="N47" i="6"/>
  <c r="L47" i="6"/>
  <c r="AH43" i="6" l="1"/>
  <c r="AF43" i="6"/>
  <c r="AD43" i="6"/>
  <c r="AB43" i="6"/>
  <c r="Z43" i="6"/>
  <c r="X43" i="6"/>
  <c r="V43" i="6"/>
  <c r="T43" i="6"/>
  <c r="R43" i="6"/>
  <c r="P43" i="6"/>
  <c r="N43" i="6"/>
  <c r="J43" i="6"/>
  <c r="L43" i="6"/>
  <c r="Z16" i="6"/>
  <c r="J42" i="6"/>
  <c r="J41" i="6"/>
  <c r="J40" i="6"/>
  <c r="J39" i="6"/>
  <c r="J38" i="6"/>
  <c r="J37" i="6"/>
  <c r="AH42" i="6"/>
  <c r="AF42" i="6"/>
  <c r="AD42" i="6"/>
  <c r="AB42" i="6"/>
  <c r="Z42" i="6"/>
  <c r="X42" i="6"/>
  <c r="V42" i="6"/>
  <c r="T42" i="6"/>
  <c r="R42" i="6"/>
  <c r="P42" i="6"/>
  <c r="N42" i="6"/>
  <c r="L42" i="6"/>
  <c r="AH41" i="6"/>
  <c r="AF41" i="6"/>
  <c r="AD41" i="6"/>
  <c r="AB41" i="6"/>
  <c r="Z41" i="6"/>
  <c r="X41" i="6"/>
  <c r="V41" i="6"/>
  <c r="T41" i="6"/>
  <c r="R41" i="6"/>
  <c r="P41" i="6"/>
  <c r="N41" i="6"/>
  <c r="L41" i="6"/>
  <c r="AH40" i="6"/>
  <c r="AF40" i="6"/>
  <c r="AD40" i="6"/>
  <c r="AB40" i="6"/>
  <c r="Z40" i="6"/>
  <c r="X40" i="6"/>
  <c r="V40" i="6"/>
  <c r="T40" i="6"/>
  <c r="R40" i="6"/>
  <c r="P40" i="6"/>
  <c r="N40" i="6"/>
  <c r="L40" i="6"/>
  <c r="P38" i="6"/>
  <c r="P37" i="6"/>
  <c r="P39" i="6"/>
  <c r="AH39" i="6"/>
  <c r="AF39" i="6"/>
  <c r="AD39" i="6"/>
  <c r="AB39" i="6"/>
  <c r="Z39" i="6"/>
  <c r="X39" i="6"/>
  <c r="V39" i="6"/>
  <c r="T39" i="6"/>
  <c r="R39" i="6"/>
  <c r="N39" i="6"/>
  <c r="L39" i="6"/>
  <c r="AH38" i="6"/>
  <c r="AF38" i="6"/>
  <c r="AD38" i="6"/>
  <c r="AB38" i="6"/>
  <c r="Z38" i="6"/>
  <c r="X38" i="6"/>
  <c r="V38" i="6"/>
  <c r="T38" i="6"/>
  <c r="R38" i="6"/>
  <c r="N38" i="6"/>
  <c r="L38" i="6"/>
  <c r="AH37" i="6"/>
  <c r="AF37" i="6"/>
  <c r="AD37" i="6"/>
  <c r="AB37" i="6"/>
  <c r="Z37" i="6"/>
  <c r="X37" i="6"/>
  <c r="V37" i="6"/>
  <c r="T37" i="6"/>
  <c r="R37" i="6"/>
  <c r="N37" i="6"/>
  <c r="R30" i="6"/>
  <c r="P30" i="6"/>
  <c r="N30" i="6"/>
  <c r="AH34" i="6"/>
  <c r="AF34" i="6"/>
  <c r="AD34" i="6"/>
  <c r="AB34" i="6"/>
  <c r="Z34" i="6"/>
  <c r="X34" i="6"/>
  <c r="V34" i="6"/>
  <c r="T34" i="6"/>
  <c r="R34" i="6"/>
  <c r="P34" i="6"/>
  <c r="N34" i="6"/>
  <c r="J34" i="6"/>
  <c r="AH33" i="6"/>
  <c r="AF33" i="6"/>
  <c r="AD33" i="6"/>
  <c r="AB33" i="6"/>
  <c r="Z33" i="6"/>
  <c r="X33" i="6"/>
  <c r="V33" i="6"/>
  <c r="T33" i="6"/>
  <c r="R33" i="6"/>
  <c r="P33" i="6"/>
  <c r="N33" i="6"/>
  <c r="J33" i="6"/>
  <c r="AH30" i="6"/>
  <c r="AF30" i="6"/>
  <c r="AD30" i="6"/>
  <c r="AB30" i="6"/>
  <c r="Z30" i="6"/>
  <c r="X30" i="6"/>
  <c r="V30" i="6"/>
  <c r="T30" i="6"/>
  <c r="L30" i="6"/>
  <c r="J30" i="6"/>
  <c r="J29" i="6"/>
  <c r="J28" i="6"/>
  <c r="J27" i="6"/>
  <c r="J26" i="6"/>
  <c r="J25" i="6"/>
  <c r="AH29" i="6"/>
  <c r="AH28" i="6"/>
  <c r="AH27" i="6"/>
  <c r="AH26" i="6"/>
  <c r="AH25" i="6"/>
  <c r="AF29" i="6"/>
  <c r="AF28" i="6"/>
  <c r="AF27" i="6"/>
  <c r="AF26" i="6"/>
  <c r="AF25" i="6"/>
  <c r="AD29" i="6"/>
  <c r="AD28" i="6"/>
  <c r="AD27" i="6"/>
  <c r="AD26" i="6"/>
  <c r="AD25" i="6"/>
  <c r="V29" i="6"/>
  <c r="V28" i="6"/>
  <c r="V27" i="6"/>
  <c r="V26" i="6"/>
  <c r="V25" i="6"/>
  <c r="AB29" i="6"/>
  <c r="AB28" i="6"/>
  <c r="AB27" i="6"/>
  <c r="AB26" i="6"/>
  <c r="AB25" i="6"/>
  <c r="Z29" i="6"/>
  <c r="Z28" i="6"/>
  <c r="Z27" i="6"/>
  <c r="Z26" i="6"/>
  <c r="Z25" i="6"/>
  <c r="X29" i="6"/>
  <c r="X28" i="6"/>
  <c r="X27" i="6"/>
  <c r="X26" i="6"/>
  <c r="X25" i="6"/>
  <c r="T29" i="6"/>
  <c r="T28" i="6"/>
  <c r="T27" i="6"/>
  <c r="T26" i="6"/>
  <c r="T25" i="6"/>
  <c r="R29" i="6"/>
  <c r="R28" i="6"/>
  <c r="R27" i="6"/>
  <c r="R26" i="6"/>
  <c r="R25" i="6"/>
  <c r="P29" i="6"/>
  <c r="P28" i="6"/>
  <c r="P27" i="6"/>
  <c r="P26" i="6"/>
  <c r="P25" i="6"/>
  <c r="N29" i="6"/>
  <c r="N28" i="6"/>
  <c r="N27" i="6"/>
  <c r="N26" i="6"/>
  <c r="N25" i="6"/>
  <c r="L29" i="6"/>
  <c r="L28" i="6"/>
  <c r="L27" i="6"/>
  <c r="L26" i="6"/>
  <c r="AH22" i="6"/>
  <c r="AF22" i="6"/>
  <c r="AD22" i="6"/>
  <c r="AB22" i="6"/>
  <c r="Z22" i="6"/>
  <c r="X22" i="6"/>
  <c r="V22" i="6"/>
  <c r="T22" i="6"/>
  <c r="R22" i="6"/>
  <c r="P22" i="6"/>
  <c r="N22" i="6"/>
  <c r="L22" i="6"/>
  <c r="J22" i="6"/>
  <c r="AH21" i="6"/>
  <c r="AF21" i="6"/>
  <c r="AD21" i="6"/>
  <c r="AB21" i="6"/>
  <c r="Z21" i="6"/>
  <c r="X21" i="6"/>
  <c r="V21" i="6"/>
  <c r="T21" i="6"/>
  <c r="R21" i="6"/>
  <c r="P21" i="6"/>
  <c r="N21" i="6"/>
  <c r="L21" i="6"/>
  <c r="J21" i="6"/>
  <c r="AH20" i="6"/>
  <c r="AF20" i="6"/>
  <c r="AD20" i="6"/>
  <c r="AB20" i="6"/>
  <c r="Z20" i="6"/>
  <c r="V20" i="6"/>
  <c r="T20" i="6"/>
  <c r="R20" i="6"/>
  <c r="P20" i="6"/>
  <c r="N20" i="6"/>
  <c r="AH16" i="6"/>
  <c r="AF16" i="6"/>
  <c r="AD16" i="6"/>
  <c r="AB16" i="6"/>
  <c r="X16" i="6"/>
  <c r="V16" i="6"/>
  <c r="T16" i="6"/>
  <c r="R16" i="6"/>
  <c r="P16" i="6"/>
  <c r="N16" i="6"/>
  <c r="L16" i="6"/>
  <c r="J16" i="6"/>
  <c r="R15" i="6"/>
  <c r="P15" i="6"/>
  <c r="N15" i="6"/>
  <c r="L15" i="6"/>
  <c r="AH15" i="6"/>
  <c r="AF15" i="6"/>
  <c r="AD15" i="6"/>
  <c r="AB15" i="6"/>
  <c r="Z15" i="6"/>
  <c r="X15" i="6"/>
  <c r="V15" i="6"/>
  <c r="T15" i="6"/>
  <c r="J14" i="6"/>
  <c r="J20" i="6"/>
  <c r="J15" i="6"/>
  <c r="AF8" i="6"/>
  <c r="AF7" i="6"/>
  <c r="AF6" i="6"/>
  <c r="AF5" i="6"/>
  <c r="AF4" i="6"/>
  <c r="N5" i="17"/>
  <c r="A57"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N9" i="17"/>
  <c r="N8" i="17"/>
  <c r="N7" i="17"/>
  <c r="E7" i="17"/>
  <c r="N6" i="17"/>
  <c r="E6" i="17"/>
  <c r="E5" i="17"/>
  <c r="A4" i="17"/>
  <c r="A3" i="17"/>
  <c r="A2" i="17"/>
  <c r="A57" i="16"/>
  <c r="X30" i="16"/>
  <c r="X29" i="16"/>
  <c r="X28" i="16"/>
  <c r="X27" i="16"/>
  <c r="X26" i="16"/>
  <c r="X25" i="16"/>
  <c r="X24" i="16"/>
  <c r="X23" i="16"/>
  <c r="X22" i="16"/>
  <c r="X21" i="16"/>
  <c r="X20" i="16"/>
  <c r="X19" i="16"/>
  <c r="X18" i="16"/>
  <c r="X17" i="16"/>
  <c r="X16" i="16"/>
  <c r="X15" i="16"/>
  <c r="N9" i="16"/>
  <c r="N8" i="16"/>
  <c r="N7" i="16"/>
  <c r="E7" i="16"/>
  <c r="N6" i="16"/>
  <c r="E6" i="16"/>
  <c r="N5" i="16"/>
  <c r="E5" i="16"/>
  <c r="A4" i="16"/>
  <c r="A3" i="16"/>
  <c r="A2" i="16"/>
  <c r="A57" i="15"/>
  <c r="X44"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N9" i="15"/>
  <c r="N8" i="15"/>
  <c r="N7" i="15"/>
  <c r="E7" i="15"/>
  <c r="N6" i="15"/>
  <c r="E6" i="15"/>
  <c r="N5" i="15"/>
  <c r="E5" i="15"/>
  <c r="A4" i="15"/>
  <c r="A3" i="15"/>
  <c r="A2" i="15"/>
  <c r="A57" i="14"/>
  <c r="X44" i="14"/>
  <c r="X43" i="14"/>
  <c r="X42" i="14"/>
  <c r="X41" i="14"/>
  <c r="X40" i="14"/>
  <c r="X39" i="14"/>
  <c r="X38" i="14"/>
  <c r="X37" i="14"/>
  <c r="X36" i="14"/>
  <c r="X35" i="14"/>
  <c r="X34" i="14"/>
  <c r="X33" i="14"/>
  <c r="X32" i="14"/>
  <c r="X31" i="14"/>
  <c r="X30" i="14"/>
  <c r="X29" i="14"/>
  <c r="X28" i="14"/>
  <c r="X27" i="14"/>
  <c r="X26" i="14"/>
  <c r="X25" i="14"/>
  <c r="X24" i="14"/>
  <c r="X23" i="14"/>
  <c r="X22" i="14"/>
  <c r="X21" i="14"/>
  <c r="X20" i="14"/>
  <c r="X19" i="14"/>
  <c r="X18" i="14"/>
  <c r="X17" i="14"/>
  <c r="X16" i="14"/>
  <c r="X15" i="14"/>
  <c r="N9" i="14"/>
  <c r="N8" i="14"/>
  <c r="N7" i="14"/>
  <c r="E7" i="14"/>
  <c r="N6" i="14"/>
  <c r="E6" i="14"/>
  <c r="N5" i="14"/>
  <c r="E5" i="14"/>
  <c r="A4" i="14"/>
  <c r="A3" i="14"/>
  <c r="A2" i="14"/>
  <c r="A57" i="13"/>
  <c r="X44" i="13"/>
  <c r="X43" i="13"/>
  <c r="X42" i="13"/>
  <c r="X41" i="13"/>
  <c r="X40" i="13"/>
  <c r="X39" i="13"/>
  <c r="X38" i="13"/>
  <c r="X37" i="13"/>
  <c r="X36" i="13"/>
  <c r="X35" i="13"/>
  <c r="X34" i="13"/>
  <c r="X33" i="13"/>
  <c r="X32" i="13"/>
  <c r="X31" i="13"/>
  <c r="X30" i="13"/>
  <c r="X29" i="13"/>
  <c r="X28" i="13"/>
  <c r="X27" i="13"/>
  <c r="X26" i="13"/>
  <c r="X25" i="13"/>
  <c r="X24" i="13"/>
  <c r="X23" i="13"/>
  <c r="X22" i="13"/>
  <c r="X21" i="13"/>
  <c r="X20" i="13"/>
  <c r="X19" i="13"/>
  <c r="X18" i="13"/>
  <c r="X17" i="13"/>
  <c r="X16" i="13"/>
  <c r="X15" i="13"/>
  <c r="N9" i="13"/>
  <c r="N8" i="13"/>
  <c r="N7" i="13"/>
  <c r="E7" i="13"/>
  <c r="N6" i="13"/>
  <c r="E6" i="13"/>
  <c r="N5" i="13"/>
  <c r="E5" i="13"/>
  <c r="A4" i="13"/>
  <c r="A3" i="13"/>
  <c r="A2" i="13"/>
  <c r="A57" i="12"/>
  <c r="X44" i="12"/>
  <c r="X43" i="12"/>
  <c r="X42" i="12"/>
  <c r="X41" i="12"/>
  <c r="X40" i="12"/>
  <c r="X39" i="12"/>
  <c r="X38" i="12"/>
  <c r="X37" i="12"/>
  <c r="X36" i="12"/>
  <c r="X35" i="12"/>
  <c r="X34" i="12"/>
  <c r="X33" i="12"/>
  <c r="X32" i="12"/>
  <c r="X31" i="12"/>
  <c r="X30" i="12"/>
  <c r="X29" i="12"/>
  <c r="X28" i="12"/>
  <c r="X27" i="12"/>
  <c r="X26" i="12"/>
  <c r="X25" i="12"/>
  <c r="X24" i="12"/>
  <c r="X23" i="12"/>
  <c r="X22" i="12"/>
  <c r="X21" i="12"/>
  <c r="X20" i="12"/>
  <c r="X19" i="12"/>
  <c r="X18" i="12"/>
  <c r="X17" i="12"/>
  <c r="X16" i="12"/>
  <c r="X15" i="12"/>
  <c r="N9" i="12"/>
  <c r="N8" i="12"/>
  <c r="N7" i="12"/>
  <c r="E7" i="12"/>
  <c r="N6" i="12"/>
  <c r="E6" i="12"/>
  <c r="N5" i="12"/>
  <c r="E5" i="12"/>
  <c r="A4" i="12"/>
  <c r="A3" i="12"/>
  <c r="A2" i="12"/>
  <c r="A57" i="11"/>
  <c r="X44" i="11"/>
  <c r="X43" i="11"/>
  <c r="X42" i="11"/>
  <c r="X41" i="11"/>
  <c r="X40" i="11"/>
  <c r="X39" i="11"/>
  <c r="X38" i="11"/>
  <c r="X37" i="11"/>
  <c r="X36" i="11"/>
  <c r="X35" i="11"/>
  <c r="X34" i="11"/>
  <c r="X33" i="11"/>
  <c r="X32" i="11"/>
  <c r="X31" i="11"/>
  <c r="X30" i="11"/>
  <c r="X29" i="11"/>
  <c r="X28" i="11"/>
  <c r="X27" i="11"/>
  <c r="X26" i="11"/>
  <c r="X25" i="11"/>
  <c r="X24" i="11"/>
  <c r="X23" i="11"/>
  <c r="X22" i="11"/>
  <c r="X21" i="11"/>
  <c r="X20" i="11"/>
  <c r="X19" i="11"/>
  <c r="X18" i="11"/>
  <c r="X17" i="11"/>
  <c r="X16" i="11"/>
  <c r="X15" i="11"/>
  <c r="N9" i="11"/>
  <c r="N8" i="11"/>
  <c r="N7" i="11"/>
  <c r="E7" i="11"/>
  <c r="N6" i="11"/>
  <c r="E6" i="11"/>
  <c r="N5" i="11"/>
  <c r="E5" i="11"/>
  <c r="A4" i="11"/>
  <c r="A3" i="11"/>
  <c r="A2" i="11"/>
  <c r="X30" i="10"/>
  <c r="X29" i="10"/>
  <c r="X28" i="10"/>
  <c r="X27" i="10"/>
  <c r="X26" i="10"/>
  <c r="X25" i="10"/>
  <c r="X24" i="10"/>
  <c r="X23" i="10"/>
  <c r="X22" i="10"/>
  <c r="X21" i="10"/>
  <c r="X20" i="10"/>
  <c r="X19" i="10"/>
  <c r="X18" i="10"/>
  <c r="X17" i="10"/>
  <c r="X16" i="10"/>
  <c r="X15" i="10"/>
  <c r="N9" i="10"/>
  <c r="N8" i="10"/>
  <c r="N7" i="10"/>
  <c r="E7" i="10"/>
  <c r="N6" i="10"/>
  <c r="E6" i="10"/>
  <c r="N5" i="10"/>
  <c r="E5" i="10"/>
  <c r="A4" i="10"/>
  <c r="A3" i="10"/>
  <c r="A2" i="10"/>
  <c r="X514" i="9"/>
  <c r="X513" i="9"/>
  <c r="X512" i="9"/>
  <c r="X511" i="9"/>
  <c r="X510" i="9"/>
  <c r="X509" i="9"/>
  <c r="X508" i="9"/>
  <c r="X507" i="9"/>
  <c r="X506" i="9"/>
  <c r="X505" i="9"/>
  <c r="X504" i="9"/>
  <c r="X503" i="9"/>
  <c r="X502" i="9"/>
  <c r="X501" i="9"/>
  <c r="X500" i="9"/>
  <c r="X499" i="9"/>
  <c r="X498" i="9"/>
  <c r="X497" i="9"/>
  <c r="X496" i="9"/>
  <c r="X495" i="9"/>
  <c r="X494" i="9"/>
  <c r="X493" i="9"/>
  <c r="X492" i="9"/>
  <c r="X491" i="9"/>
  <c r="X490" i="9"/>
  <c r="X489" i="9"/>
  <c r="X488" i="9"/>
  <c r="X487" i="9"/>
  <c r="X486" i="9"/>
  <c r="X485" i="9"/>
  <c r="X484" i="9"/>
  <c r="X483" i="9"/>
  <c r="X482" i="9"/>
  <c r="X481" i="9"/>
  <c r="X480" i="9"/>
  <c r="X479" i="9"/>
  <c r="X478" i="9"/>
  <c r="X477" i="9"/>
  <c r="X476" i="9"/>
  <c r="X475" i="9"/>
  <c r="X474" i="9"/>
  <c r="X473" i="9"/>
  <c r="X472" i="9"/>
  <c r="X471" i="9"/>
  <c r="X470" i="9"/>
  <c r="X469" i="9"/>
  <c r="X468" i="9"/>
  <c r="X467" i="9"/>
  <c r="X466" i="9"/>
  <c r="X465" i="9"/>
  <c r="X464" i="9"/>
  <c r="X463" i="9"/>
  <c r="X462" i="9"/>
  <c r="X461" i="9"/>
  <c r="X460" i="9"/>
  <c r="X459" i="9"/>
  <c r="X458" i="9"/>
  <c r="X457" i="9"/>
  <c r="X456" i="9"/>
  <c r="X455" i="9"/>
  <c r="X454" i="9"/>
  <c r="X453" i="9"/>
  <c r="X452" i="9"/>
  <c r="X451" i="9"/>
  <c r="X450" i="9"/>
  <c r="X449" i="9"/>
  <c r="X448" i="9"/>
  <c r="X447" i="9"/>
  <c r="X446" i="9"/>
  <c r="X445" i="9"/>
  <c r="X444" i="9"/>
  <c r="X443" i="9"/>
  <c r="X442" i="9"/>
  <c r="X441" i="9"/>
  <c r="X440" i="9"/>
  <c r="X439" i="9"/>
  <c r="X438" i="9"/>
  <c r="X437" i="9"/>
  <c r="X436" i="9"/>
  <c r="X435" i="9"/>
  <c r="X434" i="9"/>
  <c r="X433" i="9"/>
  <c r="X432" i="9"/>
  <c r="X431" i="9"/>
  <c r="X430" i="9"/>
  <c r="X429" i="9"/>
  <c r="X428" i="9"/>
  <c r="X427" i="9"/>
  <c r="X426" i="9"/>
  <c r="X425" i="9"/>
  <c r="X424" i="9"/>
  <c r="X423" i="9"/>
  <c r="X422" i="9"/>
  <c r="X421" i="9"/>
  <c r="X420" i="9"/>
  <c r="X419" i="9"/>
  <c r="X418" i="9"/>
  <c r="X417" i="9"/>
  <c r="X416" i="9"/>
  <c r="X415" i="9"/>
  <c r="X414" i="9"/>
  <c r="X413" i="9"/>
  <c r="X412" i="9"/>
  <c r="X411" i="9"/>
  <c r="X410" i="9"/>
  <c r="X409" i="9"/>
  <c r="X408" i="9"/>
  <c r="X407" i="9"/>
  <c r="X406" i="9"/>
  <c r="X405" i="9"/>
  <c r="X404" i="9"/>
  <c r="X403" i="9"/>
  <c r="X402" i="9"/>
  <c r="X401" i="9"/>
  <c r="X400" i="9"/>
  <c r="X399" i="9"/>
  <c r="X398" i="9"/>
  <c r="X397" i="9"/>
  <c r="X396" i="9"/>
  <c r="X395" i="9"/>
  <c r="X394" i="9"/>
  <c r="X393" i="9"/>
  <c r="X392" i="9"/>
  <c r="X391" i="9"/>
  <c r="X390" i="9"/>
  <c r="X389" i="9"/>
  <c r="X388" i="9"/>
  <c r="X387" i="9"/>
  <c r="X386" i="9"/>
  <c r="X385" i="9"/>
  <c r="X384" i="9"/>
  <c r="X383" i="9"/>
  <c r="X382" i="9"/>
  <c r="X381" i="9"/>
  <c r="X380" i="9"/>
  <c r="X379" i="9"/>
  <c r="X378" i="9"/>
  <c r="X377" i="9"/>
  <c r="X376" i="9"/>
  <c r="X375" i="9"/>
  <c r="X374" i="9"/>
  <c r="X373" i="9"/>
  <c r="X372" i="9"/>
  <c r="X371" i="9"/>
  <c r="X370" i="9"/>
  <c r="X369" i="9"/>
  <c r="X368" i="9"/>
  <c r="X367" i="9"/>
  <c r="X366" i="9"/>
  <c r="X365" i="9"/>
  <c r="X364" i="9"/>
  <c r="X363" i="9"/>
  <c r="X362" i="9"/>
  <c r="X361" i="9"/>
  <c r="X360" i="9"/>
  <c r="X359" i="9"/>
  <c r="X358" i="9"/>
  <c r="X357" i="9"/>
  <c r="X356" i="9"/>
  <c r="X355" i="9"/>
  <c r="X354" i="9"/>
  <c r="X353" i="9"/>
  <c r="X352" i="9"/>
  <c r="X351" i="9"/>
  <c r="X350" i="9"/>
  <c r="X349" i="9"/>
  <c r="X348" i="9"/>
  <c r="X347" i="9"/>
  <c r="X346" i="9"/>
  <c r="X345" i="9"/>
  <c r="X344" i="9"/>
  <c r="X343" i="9"/>
  <c r="X342" i="9"/>
  <c r="X341" i="9"/>
  <c r="X340" i="9"/>
  <c r="X339" i="9"/>
  <c r="X338" i="9"/>
  <c r="X337" i="9"/>
  <c r="X336" i="9"/>
  <c r="X335" i="9"/>
  <c r="X334" i="9"/>
  <c r="X333" i="9"/>
  <c r="X332" i="9"/>
  <c r="X331" i="9"/>
  <c r="X330" i="9"/>
  <c r="X329" i="9"/>
  <c r="X328" i="9"/>
  <c r="X327" i="9"/>
  <c r="X326" i="9"/>
  <c r="X325" i="9"/>
  <c r="X324" i="9"/>
  <c r="X323" i="9"/>
  <c r="X322" i="9"/>
  <c r="X321" i="9"/>
  <c r="X320" i="9"/>
  <c r="X319" i="9"/>
  <c r="X318" i="9"/>
  <c r="X317" i="9"/>
  <c r="X316" i="9"/>
  <c r="X315" i="9"/>
  <c r="X314" i="9"/>
  <c r="X313" i="9"/>
  <c r="X312" i="9"/>
  <c r="X311" i="9"/>
  <c r="X310" i="9"/>
  <c r="X309" i="9"/>
  <c r="X308" i="9"/>
  <c r="X307" i="9"/>
  <c r="X306" i="9"/>
  <c r="X305" i="9"/>
  <c r="X304" i="9"/>
  <c r="X303" i="9"/>
  <c r="X302" i="9"/>
  <c r="X301" i="9"/>
  <c r="X300" i="9"/>
  <c r="X299" i="9"/>
  <c r="X298" i="9"/>
  <c r="X297" i="9"/>
  <c r="X296" i="9"/>
  <c r="X295" i="9"/>
  <c r="X294" i="9"/>
  <c r="X293" i="9"/>
  <c r="X292" i="9"/>
  <c r="X291" i="9"/>
  <c r="X290" i="9"/>
  <c r="X289" i="9"/>
  <c r="X288" i="9"/>
  <c r="X287" i="9"/>
  <c r="X286" i="9"/>
  <c r="X285" i="9"/>
  <c r="X284" i="9"/>
  <c r="X283" i="9"/>
  <c r="X282" i="9"/>
  <c r="X281" i="9"/>
  <c r="X280" i="9"/>
  <c r="X279" i="9"/>
  <c r="X278" i="9"/>
  <c r="X277" i="9"/>
  <c r="X276" i="9"/>
  <c r="X275" i="9"/>
  <c r="X274" i="9"/>
  <c r="X273" i="9"/>
  <c r="X272" i="9"/>
  <c r="X271" i="9"/>
  <c r="X270" i="9"/>
  <c r="X269" i="9"/>
  <c r="X268" i="9"/>
  <c r="X267" i="9"/>
  <c r="X266" i="9"/>
  <c r="X265" i="9"/>
  <c r="X264" i="9"/>
  <c r="X263" i="9"/>
  <c r="X262" i="9"/>
  <c r="X261" i="9"/>
  <c r="X260" i="9"/>
  <c r="X259" i="9"/>
  <c r="X258" i="9"/>
  <c r="X257" i="9"/>
  <c r="X256" i="9"/>
  <c r="X255" i="9"/>
  <c r="X254" i="9"/>
  <c r="X253" i="9"/>
  <c r="X252" i="9"/>
  <c r="X251" i="9"/>
  <c r="X250" i="9"/>
  <c r="X249" i="9"/>
  <c r="X248" i="9"/>
  <c r="X247" i="9"/>
  <c r="X246" i="9"/>
  <c r="X245" i="9"/>
  <c r="X244" i="9"/>
  <c r="X243" i="9"/>
  <c r="X242" i="9"/>
  <c r="X241" i="9"/>
  <c r="X240" i="9"/>
  <c r="X239" i="9"/>
  <c r="X238" i="9"/>
  <c r="X237" i="9"/>
  <c r="X236" i="9"/>
  <c r="X235" i="9"/>
  <c r="X234" i="9"/>
  <c r="X233" i="9"/>
  <c r="X232" i="9"/>
  <c r="X231" i="9"/>
  <c r="X230" i="9"/>
  <c r="X229" i="9"/>
  <c r="X228" i="9"/>
  <c r="X227" i="9"/>
  <c r="X226" i="9"/>
  <c r="X225" i="9"/>
  <c r="X224" i="9"/>
  <c r="X223" i="9"/>
  <c r="X222" i="9"/>
  <c r="X221" i="9"/>
  <c r="X220" i="9"/>
  <c r="X219" i="9"/>
  <c r="X218" i="9"/>
  <c r="X217" i="9"/>
  <c r="X216" i="9"/>
  <c r="X215" i="9"/>
  <c r="X214" i="9"/>
  <c r="X213" i="9"/>
  <c r="X212" i="9"/>
  <c r="X211" i="9"/>
  <c r="X210" i="9"/>
  <c r="X209" i="9"/>
  <c r="X208" i="9"/>
  <c r="X207" i="9"/>
  <c r="X206" i="9"/>
  <c r="X205" i="9"/>
  <c r="X204" i="9"/>
  <c r="X203" i="9"/>
  <c r="X202" i="9"/>
  <c r="X201" i="9"/>
  <c r="X200" i="9"/>
  <c r="X199" i="9"/>
  <c r="X198" i="9"/>
  <c r="X197" i="9"/>
  <c r="X196" i="9"/>
  <c r="X195" i="9"/>
  <c r="X194" i="9"/>
  <c r="X193" i="9"/>
  <c r="X192" i="9"/>
  <c r="X191" i="9"/>
  <c r="X190" i="9"/>
  <c r="X189" i="9"/>
  <c r="X188" i="9"/>
  <c r="X187" i="9"/>
  <c r="X186" i="9"/>
  <c r="X185" i="9"/>
  <c r="X184" i="9"/>
  <c r="X183" i="9"/>
  <c r="X182" i="9"/>
  <c r="X181" i="9"/>
  <c r="X180" i="9"/>
  <c r="X179" i="9"/>
  <c r="X178" i="9"/>
  <c r="X177" i="9"/>
  <c r="X176" i="9"/>
  <c r="X175" i="9"/>
  <c r="X174" i="9"/>
  <c r="X173" i="9"/>
  <c r="X172" i="9"/>
  <c r="X171" i="9"/>
  <c r="X170" i="9"/>
  <c r="X169" i="9"/>
  <c r="X168" i="9"/>
  <c r="X167" i="9"/>
  <c r="X166" i="9"/>
  <c r="X165" i="9"/>
  <c r="X164" i="9"/>
  <c r="X163" i="9"/>
  <c r="X162" i="9"/>
  <c r="X161" i="9"/>
  <c r="X160" i="9"/>
  <c r="X159" i="9"/>
  <c r="X158" i="9"/>
  <c r="X157" i="9"/>
  <c r="X156" i="9"/>
  <c r="X155" i="9"/>
  <c r="X154" i="9"/>
  <c r="X153" i="9"/>
  <c r="X152" i="9"/>
  <c r="X151" i="9"/>
  <c r="X150" i="9"/>
  <c r="X149" i="9"/>
  <c r="X148" i="9"/>
  <c r="X147" i="9"/>
  <c r="X146" i="9"/>
  <c r="X145" i="9"/>
  <c r="X144" i="9"/>
  <c r="X143" i="9"/>
  <c r="X142" i="9"/>
  <c r="X141" i="9"/>
  <c r="X140" i="9"/>
  <c r="X139" i="9"/>
  <c r="X138" i="9"/>
  <c r="X137" i="9"/>
  <c r="X136" i="9"/>
  <c r="X135" i="9"/>
  <c r="X134" i="9"/>
  <c r="X133" i="9"/>
  <c r="X132" i="9"/>
  <c r="X131" i="9"/>
  <c r="X130" i="9"/>
  <c r="X129" i="9"/>
  <c r="X128" i="9"/>
  <c r="X127" i="9"/>
  <c r="X126" i="9"/>
  <c r="X125" i="9"/>
  <c r="X124" i="9"/>
  <c r="X123" i="9"/>
  <c r="X122" i="9"/>
  <c r="X121" i="9"/>
  <c r="X120" i="9"/>
  <c r="X119" i="9"/>
  <c r="X118" i="9"/>
  <c r="X117" i="9"/>
  <c r="X116" i="9"/>
  <c r="X115" i="9"/>
  <c r="X114" i="9"/>
  <c r="X113" i="9"/>
  <c r="X112" i="9"/>
  <c r="X111" i="9"/>
  <c r="X110" i="9"/>
  <c r="X109" i="9"/>
  <c r="X108" i="9"/>
  <c r="X107" i="9"/>
  <c r="X106" i="9"/>
  <c r="X105" i="9"/>
  <c r="X104" i="9"/>
  <c r="X103" i="9"/>
  <c r="X102" i="9"/>
  <c r="X101" i="9"/>
  <c r="X100" i="9"/>
  <c r="X99" i="9"/>
  <c r="X98" i="9"/>
  <c r="X97" i="9"/>
  <c r="X96" i="9"/>
  <c r="X95" i="9"/>
  <c r="X94" i="9"/>
  <c r="X93" i="9"/>
  <c r="X92" i="9"/>
  <c r="X91" i="9"/>
  <c r="X90" i="9"/>
  <c r="X89" i="9"/>
  <c r="X88" i="9"/>
  <c r="X87" i="9"/>
  <c r="X86" i="9"/>
  <c r="X85" i="9"/>
  <c r="X84" i="9"/>
  <c r="X83" i="9"/>
  <c r="X82" i="9"/>
  <c r="X81" i="9"/>
  <c r="X80" i="9"/>
  <c r="X79" i="9"/>
  <c r="X78" i="9"/>
  <c r="X77" i="9"/>
  <c r="X76" i="9"/>
  <c r="X75" i="9"/>
  <c r="X74" i="9"/>
  <c r="X73" i="9"/>
  <c r="X72" i="9"/>
  <c r="X71" i="9"/>
  <c r="X70" i="9"/>
  <c r="X69" i="9"/>
  <c r="X68" i="9"/>
  <c r="X67" i="9"/>
  <c r="X66" i="9"/>
  <c r="X65" i="9"/>
  <c r="X64" i="9"/>
  <c r="X63" i="9"/>
  <c r="X62" i="9"/>
  <c r="X61" i="9"/>
  <c r="X60" i="9"/>
  <c r="X59" i="9"/>
  <c r="X58" i="9"/>
  <c r="X57" i="9"/>
  <c r="A57" i="9"/>
  <c r="X56" i="9"/>
  <c r="X55" i="9"/>
  <c r="X54" i="9"/>
  <c r="X53" i="9"/>
  <c r="X52" i="9"/>
  <c r="X51" i="9"/>
  <c r="X50" i="9"/>
  <c r="X49" i="9"/>
  <c r="X48" i="9"/>
  <c r="X47" i="9"/>
  <c r="X46" i="9"/>
  <c r="X45" i="9"/>
  <c r="X44" i="9"/>
  <c r="X43" i="9"/>
  <c r="X42" i="9"/>
  <c r="X41" i="9"/>
  <c r="X40" i="9"/>
  <c r="X39" i="9"/>
  <c r="X38" i="9"/>
  <c r="X37" i="9"/>
  <c r="X36" i="9"/>
  <c r="X35" i="9"/>
  <c r="X34" i="9"/>
  <c r="X33" i="9"/>
  <c r="X32" i="9"/>
  <c r="X31" i="9"/>
  <c r="X30" i="9"/>
  <c r="X29" i="9"/>
  <c r="X28" i="9"/>
  <c r="X27" i="9"/>
  <c r="X26" i="9"/>
  <c r="X25" i="9"/>
  <c r="X24" i="9"/>
  <c r="X23" i="9"/>
  <c r="X22" i="9"/>
  <c r="X21" i="9"/>
  <c r="X20" i="9"/>
  <c r="X19" i="9"/>
  <c r="X18" i="9"/>
  <c r="X17" i="9"/>
  <c r="X16" i="9"/>
  <c r="X15" i="9"/>
  <c r="N9" i="9"/>
  <c r="N8" i="9"/>
  <c r="N7" i="9"/>
  <c r="E7" i="9"/>
  <c r="N6" i="9"/>
  <c r="E6" i="9"/>
  <c r="N5" i="9"/>
  <c r="E5" i="9"/>
  <c r="A4" i="9"/>
  <c r="A3" i="9"/>
  <c r="A2" i="9"/>
  <c r="A57" i="8"/>
  <c r="X44" i="8"/>
  <c r="X43" i="8"/>
  <c r="X42" i="8"/>
  <c r="X41" i="8"/>
  <c r="X40" i="8"/>
  <c r="X39" i="8"/>
  <c r="X38" i="8"/>
  <c r="X37" i="8"/>
  <c r="X36" i="8"/>
  <c r="X35" i="8"/>
  <c r="X34" i="8"/>
  <c r="X33" i="8"/>
  <c r="X32" i="8"/>
  <c r="X31" i="8"/>
  <c r="X30" i="8"/>
  <c r="X29" i="8"/>
  <c r="X28" i="8"/>
  <c r="X27" i="8"/>
  <c r="X26" i="8"/>
  <c r="X25" i="8"/>
  <c r="X24" i="8"/>
  <c r="X23" i="8"/>
  <c r="X22" i="8"/>
  <c r="X21" i="8"/>
  <c r="X20" i="8"/>
  <c r="X19" i="8"/>
  <c r="X18" i="8"/>
  <c r="X17" i="8"/>
  <c r="X16" i="8"/>
  <c r="X15" i="8"/>
  <c r="N9" i="8"/>
  <c r="N8" i="8"/>
  <c r="N7" i="8"/>
  <c r="E7" i="8"/>
  <c r="N6" i="8"/>
  <c r="E6" i="8"/>
  <c r="N5" i="8"/>
  <c r="E5" i="8"/>
  <c r="A4" i="8"/>
  <c r="A3" i="8"/>
  <c r="A2" i="8"/>
  <c r="X514" i="7"/>
  <c r="X513" i="7"/>
  <c r="X512" i="7"/>
  <c r="X511" i="7"/>
  <c r="X510" i="7"/>
  <c r="X509" i="7"/>
  <c r="X508" i="7"/>
  <c r="X507" i="7"/>
  <c r="X506" i="7"/>
  <c r="X505" i="7"/>
  <c r="X504" i="7"/>
  <c r="X503" i="7"/>
  <c r="X502" i="7"/>
  <c r="X501" i="7"/>
  <c r="X500" i="7"/>
  <c r="X499" i="7"/>
  <c r="X498" i="7"/>
  <c r="X497" i="7"/>
  <c r="X496" i="7"/>
  <c r="X495" i="7"/>
  <c r="X494" i="7"/>
  <c r="X493" i="7"/>
  <c r="X492" i="7"/>
  <c r="X491" i="7"/>
  <c r="X490" i="7"/>
  <c r="X489" i="7"/>
  <c r="X488" i="7"/>
  <c r="X487" i="7"/>
  <c r="X486" i="7"/>
  <c r="X485" i="7"/>
  <c r="X484" i="7"/>
  <c r="X483" i="7"/>
  <c r="X482" i="7"/>
  <c r="X481" i="7"/>
  <c r="X480" i="7"/>
  <c r="X479" i="7"/>
  <c r="X478" i="7"/>
  <c r="X477" i="7"/>
  <c r="X476" i="7"/>
  <c r="X475" i="7"/>
  <c r="X474" i="7"/>
  <c r="X473" i="7"/>
  <c r="X472" i="7"/>
  <c r="X471" i="7"/>
  <c r="X470" i="7"/>
  <c r="X469" i="7"/>
  <c r="X468" i="7"/>
  <c r="X467" i="7"/>
  <c r="X466" i="7"/>
  <c r="X465" i="7"/>
  <c r="X464" i="7"/>
  <c r="X463" i="7"/>
  <c r="X462" i="7"/>
  <c r="X461" i="7"/>
  <c r="X460" i="7"/>
  <c r="X459" i="7"/>
  <c r="X458" i="7"/>
  <c r="X457" i="7"/>
  <c r="X456" i="7"/>
  <c r="X455" i="7"/>
  <c r="X454" i="7"/>
  <c r="X453" i="7"/>
  <c r="X452" i="7"/>
  <c r="X451" i="7"/>
  <c r="X450" i="7"/>
  <c r="X449" i="7"/>
  <c r="X448" i="7"/>
  <c r="X447" i="7"/>
  <c r="X446" i="7"/>
  <c r="X445" i="7"/>
  <c r="X444" i="7"/>
  <c r="X443" i="7"/>
  <c r="X442" i="7"/>
  <c r="X441" i="7"/>
  <c r="X440" i="7"/>
  <c r="X439" i="7"/>
  <c r="X438" i="7"/>
  <c r="X437" i="7"/>
  <c r="X436" i="7"/>
  <c r="X435" i="7"/>
  <c r="X434" i="7"/>
  <c r="X433" i="7"/>
  <c r="X432" i="7"/>
  <c r="X431" i="7"/>
  <c r="X430" i="7"/>
  <c r="X429" i="7"/>
  <c r="X428" i="7"/>
  <c r="X427" i="7"/>
  <c r="X426" i="7"/>
  <c r="X425" i="7"/>
  <c r="X424" i="7"/>
  <c r="X423" i="7"/>
  <c r="X422" i="7"/>
  <c r="X421" i="7"/>
  <c r="X420" i="7"/>
  <c r="X419" i="7"/>
  <c r="X418" i="7"/>
  <c r="X417" i="7"/>
  <c r="X416" i="7"/>
  <c r="X415" i="7"/>
  <c r="X414" i="7"/>
  <c r="X413" i="7"/>
  <c r="X412" i="7"/>
  <c r="X411" i="7"/>
  <c r="X410" i="7"/>
  <c r="X409" i="7"/>
  <c r="X408" i="7"/>
  <c r="X407" i="7"/>
  <c r="X406" i="7"/>
  <c r="X405" i="7"/>
  <c r="X404" i="7"/>
  <c r="X403" i="7"/>
  <c r="X402" i="7"/>
  <c r="X401" i="7"/>
  <c r="X400" i="7"/>
  <c r="X399" i="7"/>
  <c r="X398" i="7"/>
  <c r="X397" i="7"/>
  <c r="X396" i="7"/>
  <c r="X395" i="7"/>
  <c r="X394" i="7"/>
  <c r="X393" i="7"/>
  <c r="X392" i="7"/>
  <c r="X391" i="7"/>
  <c r="X390" i="7"/>
  <c r="X389" i="7"/>
  <c r="X388" i="7"/>
  <c r="X387" i="7"/>
  <c r="X386" i="7"/>
  <c r="X385" i="7"/>
  <c r="X384" i="7"/>
  <c r="X383" i="7"/>
  <c r="X382" i="7"/>
  <c r="X381" i="7"/>
  <c r="X380" i="7"/>
  <c r="X379" i="7"/>
  <c r="X378" i="7"/>
  <c r="X377" i="7"/>
  <c r="X376" i="7"/>
  <c r="X375" i="7"/>
  <c r="X374" i="7"/>
  <c r="X373" i="7"/>
  <c r="X372" i="7"/>
  <c r="X371" i="7"/>
  <c r="X370" i="7"/>
  <c r="X369" i="7"/>
  <c r="X368" i="7"/>
  <c r="X367" i="7"/>
  <c r="X366" i="7"/>
  <c r="X365" i="7"/>
  <c r="X364" i="7"/>
  <c r="X363" i="7"/>
  <c r="X362" i="7"/>
  <c r="X361" i="7"/>
  <c r="X360" i="7"/>
  <c r="X359" i="7"/>
  <c r="X358" i="7"/>
  <c r="X357" i="7"/>
  <c r="X356" i="7"/>
  <c r="X355" i="7"/>
  <c r="X354" i="7"/>
  <c r="X353" i="7"/>
  <c r="X352" i="7"/>
  <c r="X351" i="7"/>
  <c r="X350" i="7"/>
  <c r="X349" i="7"/>
  <c r="X348" i="7"/>
  <c r="X347" i="7"/>
  <c r="X346" i="7"/>
  <c r="X345" i="7"/>
  <c r="X344" i="7"/>
  <c r="X343" i="7"/>
  <c r="X342" i="7"/>
  <c r="X341" i="7"/>
  <c r="X340" i="7"/>
  <c r="X339" i="7"/>
  <c r="X338" i="7"/>
  <c r="X337" i="7"/>
  <c r="X336" i="7"/>
  <c r="X335" i="7"/>
  <c r="X334" i="7"/>
  <c r="X333" i="7"/>
  <c r="X332" i="7"/>
  <c r="X331" i="7"/>
  <c r="X330" i="7"/>
  <c r="X329" i="7"/>
  <c r="X328" i="7"/>
  <c r="X327" i="7"/>
  <c r="X326" i="7"/>
  <c r="X325" i="7"/>
  <c r="X324" i="7"/>
  <c r="X323" i="7"/>
  <c r="X322" i="7"/>
  <c r="X321" i="7"/>
  <c r="X320" i="7"/>
  <c r="X319" i="7"/>
  <c r="X318" i="7"/>
  <c r="X317" i="7"/>
  <c r="X316" i="7"/>
  <c r="X315" i="7"/>
  <c r="X314" i="7"/>
  <c r="X313" i="7"/>
  <c r="X312" i="7"/>
  <c r="X311" i="7"/>
  <c r="X310" i="7"/>
  <c r="X309" i="7"/>
  <c r="X308" i="7"/>
  <c r="X307" i="7"/>
  <c r="X306" i="7"/>
  <c r="X305" i="7"/>
  <c r="X304" i="7"/>
  <c r="X303" i="7"/>
  <c r="X302" i="7"/>
  <c r="X301" i="7"/>
  <c r="X300" i="7"/>
  <c r="X299" i="7"/>
  <c r="X298" i="7"/>
  <c r="X297" i="7"/>
  <c r="X296" i="7"/>
  <c r="X295" i="7"/>
  <c r="X294" i="7"/>
  <c r="X293" i="7"/>
  <c r="X292" i="7"/>
  <c r="X291" i="7"/>
  <c r="X290" i="7"/>
  <c r="X289" i="7"/>
  <c r="X288" i="7"/>
  <c r="X287" i="7"/>
  <c r="X286" i="7"/>
  <c r="X285" i="7"/>
  <c r="X284" i="7"/>
  <c r="X283" i="7"/>
  <c r="X282" i="7"/>
  <c r="X281" i="7"/>
  <c r="X280" i="7"/>
  <c r="X279" i="7"/>
  <c r="X278" i="7"/>
  <c r="X277" i="7"/>
  <c r="X276" i="7"/>
  <c r="X275" i="7"/>
  <c r="X274" i="7"/>
  <c r="X273" i="7"/>
  <c r="X272" i="7"/>
  <c r="X271" i="7"/>
  <c r="X270" i="7"/>
  <c r="X269" i="7"/>
  <c r="X268" i="7"/>
  <c r="X267" i="7"/>
  <c r="X266" i="7"/>
  <c r="X265" i="7"/>
  <c r="X264" i="7"/>
  <c r="X263" i="7"/>
  <c r="X262" i="7"/>
  <c r="X261" i="7"/>
  <c r="X260" i="7"/>
  <c r="X259" i="7"/>
  <c r="X258" i="7"/>
  <c r="X257" i="7"/>
  <c r="X256" i="7"/>
  <c r="X255" i="7"/>
  <c r="X254" i="7"/>
  <c r="X253" i="7"/>
  <c r="X252" i="7"/>
  <c r="X251" i="7"/>
  <c r="X250" i="7"/>
  <c r="X249" i="7"/>
  <c r="X248" i="7"/>
  <c r="X247" i="7"/>
  <c r="X246" i="7"/>
  <c r="X245" i="7"/>
  <c r="X244" i="7"/>
  <c r="X243" i="7"/>
  <c r="X242" i="7"/>
  <c r="X241" i="7"/>
  <c r="X240" i="7"/>
  <c r="X239" i="7"/>
  <c r="X238" i="7"/>
  <c r="X237" i="7"/>
  <c r="X236" i="7"/>
  <c r="X235" i="7"/>
  <c r="X234" i="7"/>
  <c r="X233" i="7"/>
  <c r="X232" i="7"/>
  <c r="X231" i="7"/>
  <c r="X230" i="7"/>
  <c r="X229" i="7"/>
  <c r="X228" i="7"/>
  <c r="X227" i="7"/>
  <c r="X226" i="7"/>
  <c r="X225" i="7"/>
  <c r="X224" i="7"/>
  <c r="X223" i="7"/>
  <c r="X222" i="7"/>
  <c r="X221" i="7"/>
  <c r="X220" i="7"/>
  <c r="X219" i="7"/>
  <c r="X218" i="7"/>
  <c r="X217" i="7"/>
  <c r="X216" i="7"/>
  <c r="X215" i="7"/>
  <c r="X214" i="7"/>
  <c r="X213" i="7"/>
  <c r="X212" i="7"/>
  <c r="X211" i="7"/>
  <c r="X210" i="7"/>
  <c r="X209" i="7"/>
  <c r="X208" i="7"/>
  <c r="X207" i="7"/>
  <c r="X206" i="7"/>
  <c r="X205" i="7"/>
  <c r="X204" i="7"/>
  <c r="X203" i="7"/>
  <c r="X202" i="7"/>
  <c r="X201" i="7"/>
  <c r="X200" i="7"/>
  <c r="X199" i="7"/>
  <c r="X198" i="7"/>
  <c r="X197" i="7"/>
  <c r="X196" i="7"/>
  <c r="X195" i="7"/>
  <c r="X194" i="7"/>
  <c r="X193" i="7"/>
  <c r="X192" i="7"/>
  <c r="X191" i="7"/>
  <c r="X190" i="7"/>
  <c r="X189" i="7"/>
  <c r="X188" i="7"/>
  <c r="X187" i="7"/>
  <c r="X186" i="7"/>
  <c r="X185" i="7"/>
  <c r="X184" i="7"/>
  <c r="X183" i="7"/>
  <c r="X182" i="7"/>
  <c r="X181" i="7"/>
  <c r="X180" i="7"/>
  <c r="X179" i="7"/>
  <c r="X178" i="7"/>
  <c r="X177" i="7"/>
  <c r="X176" i="7"/>
  <c r="X175" i="7"/>
  <c r="X174" i="7"/>
  <c r="X173" i="7"/>
  <c r="X172" i="7"/>
  <c r="X171" i="7"/>
  <c r="X170" i="7"/>
  <c r="X169" i="7"/>
  <c r="X168" i="7"/>
  <c r="X167" i="7"/>
  <c r="X166" i="7"/>
  <c r="X165" i="7"/>
  <c r="X164" i="7"/>
  <c r="X163" i="7"/>
  <c r="X162" i="7"/>
  <c r="X161" i="7"/>
  <c r="X160" i="7"/>
  <c r="X159" i="7"/>
  <c r="X158" i="7"/>
  <c r="X157" i="7"/>
  <c r="X156" i="7"/>
  <c r="X155" i="7"/>
  <c r="X154" i="7"/>
  <c r="X153" i="7"/>
  <c r="X152" i="7"/>
  <c r="X151" i="7"/>
  <c r="X150" i="7"/>
  <c r="X149" i="7"/>
  <c r="X148" i="7"/>
  <c r="X147" i="7"/>
  <c r="X146" i="7"/>
  <c r="X145" i="7"/>
  <c r="X144" i="7"/>
  <c r="X143" i="7"/>
  <c r="X142" i="7"/>
  <c r="X141" i="7"/>
  <c r="X140" i="7"/>
  <c r="X139" i="7"/>
  <c r="X138" i="7"/>
  <c r="X137" i="7"/>
  <c r="X136" i="7"/>
  <c r="X135" i="7"/>
  <c r="X134" i="7"/>
  <c r="X133" i="7"/>
  <c r="X132" i="7"/>
  <c r="X131" i="7"/>
  <c r="X130" i="7"/>
  <c r="X129" i="7"/>
  <c r="X128" i="7"/>
  <c r="X127" i="7"/>
  <c r="X126" i="7"/>
  <c r="X125" i="7"/>
  <c r="X124" i="7"/>
  <c r="X123" i="7"/>
  <c r="X122" i="7"/>
  <c r="X121" i="7"/>
  <c r="X120" i="7"/>
  <c r="X119" i="7"/>
  <c r="X118" i="7"/>
  <c r="X117" i="7"/>
  <c r="X116" i="7"/>
  <c r="X115" i="7"/>
  <c r="X114" i="7"/>
  <c r="X113" i="7"/>
  <c r="X112" i="7"/>
  <c r="X111" i="7"/>
  <c r="X110" i="7"/>
  <c r="X109" i="7"/>
  <c r="X108" i="7"/>
  <c r="X107" i="7"/>
  <c r="X106" i="7"/>
  <c r="X105" i="7"/>
  <c r="X104" i="7"/>
  <c r="X103" i="7"/>
  <c r="X102" i="7"/>
  <c r="X101" i="7"/>
  <c r="X100" i="7"/>
  <c r="X99" i="7"/>
  <c r="X98" i="7"/>
  <c r="X97" i="7"/>
  <c r="X96" i="7"/>
  <c r="X95" i="7"/>
  <c r="X94" i="7"/>
  <c r="X93" i="7"/>
  <c r="X92" i="7"/>
  <c r="X91" i="7"/>
  <c r="X90" i="7"/>
  <c r="X89" i="7"/>
  <c r="X88" i="7"/>
  <c r="X87" i="7"/>
  <c r="X86" i="7"/>
  <c r="X85" i="7"/>
  <c r="X84" i="7"/>
  <c r="X83" i="7"/>
  <c r="X82" i="7"/>
  <c r="X81" i="7"/>
  <c r="X80" i="7"/>
  <c r="X79" i="7"/>
  <c r="X78" i="7"/>
  <c r="X77" i="7"/>
  <c r="X76" i="7"/>
  <c r="X75" i="7"/>
  <c r="X74" i="7"/>
  <c r="X73" i="7"/>
  <c r="X72" i="7"/>
  <c r="X71" i="7"/>
  <c r="X70" i="7"/>
  <c r="X69" i="7"/>
  <c r="X68" i="7"/>
  <c r="X67" i="7"/>
  <c r="X66" i="7"/>
  <c r="X65" i="7"/>
  <c r="X64" i="7"/>
  <c r="X63" i="7"/>
  <c r="X62" i="7"/>
  <c r="X61" i="7"/>
  <c r="X60" i="7"/>
  <c r="X59" i="7"/>
  <c r="X58" i="7"/>
  <c r="X57" i="7"/>
  <c r="A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N9" i="7"/>
  <c r="N8" i="7"/>
  <c r="N7" i="7"/>
  <c r="E7" i="7"/>
  <c r="N6" i="7"/>
  <c r="E6" i="7"/>
  <c r="N5" i="7"/>
  <c r="E5" i="7"/>
  <c r="A4" i="7"/>
  <c r="A3" i="7"/>
  <c r="A2" i="7"/>
  <c r="N9" i="1"/>
  <c r="N8" i="1"/>
  <c r="N7" i="1"/>
  <c r="N6" i="1"/>
  <c r="G9" i="5"/>
  <c r="G8" i="5"/>
  <c r="G7" i="5"/>
  <c r="G6" i="5"/>
  <c r="G9" i="4"/>
  <c r="G8" i="4"/>
  <c r="G7" i="4"/>
  <c r="G6" i="4"/>
  <c r="P8" i="6"/>
  <c r="J6" i="6"/>
  <c r="J5" i="6"/>
  <c r="D9" i="4"/>
  <c r="D7" i="4"/>
  <c r="D6" i="4"/>
  <c r="A3" i="6"/>
  <c r="A2" i="6"/>
  <c r="A1" i="6"/>
  <c r="A4" i="5"/>
  <c r="A3" i="5"/>
  <c r="A4" i="4"/>
  <c r="A3" i="4"/>
  <c r="A2" i="4"/>
  <c r="A4" i="1"/>
  <c r="A3" i="1"/>
  <c r="A2" i="1"/>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E7" i="1"/>
  <c r="E6" i="1"/>
  <c r="A13" i="4"/>
  <c r="T89" i="19" l="1"/>
  <c r="M64" i="19"/>
  <c r="M63" i="19"/>
  <c r="N63" i="19"/>
  <c r="N64" i="19"/>
  <c r="S64" i="19"/>
  <c r="S63" i="19"/>
  <c r="O63" i="19"/>
  <c r="O64" i="19"/>
  <c r="P63" i="19"/>
  <c r="P64" i="19"/>
  <c r="W63" i="19"/>
  <c r="W64" i="19"/>
  <c r="T64" i="19"/>
  <c r="T58" i="19"/>
  <c r="T63" i="19"/>
  <c r="Q63" i="19"/>
  <c r="Q64" i="19"/>
  <c r="U63" i="19"/>
  <c r="U64" i="19"/>
  <c r="R64" i="19"/>
  <c r="R63" i="19"/>
  <c r="V63" i="19"/>
  <c r="V64" i="19"/>
  <c r="AH94" i="6"/>
  <c r="AH86" i="6"/>
  <c r="AH74" i="6"/>
  <c r="AH70" i="6"/>
  <c r="AH65" i="6"/>
  <c r="AH54" i="6"/>
  <c r="AH49" i="6"/>
  <c r="AF94" i="6"/>
  <c r="AF86" i="6"/>
  <c r="AF74" i="6"/>
  <c r="AF70" i="6"/>
  <c r="AF65" i="6"/>
  <c r="AF54" i="6"/>
  <c r="AF49" i="6"/>
  <c r="AD94" i="6"/>
  <c r="AD86" i="6"/>
  <c r="AD74" i="6"/>
  <c r="AD70" i="6"/>
  <c r="AD65" i="6"/>
  <c r="AD54" i="6"/>
  <c r="AD49" i="6"/>
  <c r="AB94" i="6"/>
  <c r="AB86" i="6"/>
  <c r="AB74" i="6"/>
  <c r="AB70" i="6"/>
  <c r="AB65" i="6"/>
  <c r="AB54" i="6"/>
  <c r="AB49" i="6"/>
  <c r="Z94" i="6"/>
  <c r="Z86" i="6"/>
  <c r="Z74" i="6"/>
  <c r="Z70" i="6"/>
  <c r="Z65" i="6"/>
  <c r="Z54" i="6"/>
  <c r="Z49" i="6"/>
  <c r="X94" i="6"/>
  <c r="X86" i="6"/>
  <c r="X74" i="6"/>
  <c r="X70" i="6"/>
  <c r="X65" i="6"/>
  <c r="X54" i="6"/>
  <c r="X49" i="6"/>
  <c r="V94" i="6"/>
  <c r="V86" i="6"/>
  <c r="V74" i="6"/>
  <c r="V70" i="6"/>
  <c r="V65" i="6"/>
  <c r="V54" i="6"/>
  <c r="V49" i="6"/>
  <c r="T94" i="6"/>
  <c r="T86" i="6"/>
  <c r="T74" i="6"/>
  <c r="T70" i="6"/>
  <c r="T65" i="6"/>
  <c r="T54" i="6"/>
  <c r="T49" i="6"/>
  <c r="R94" i="6"/>
  <c r="R86" i="6"/>
  <c r="R74" i="6"/>
  <c r="R70" i="6"/>
  <c r="R65" i="6"/>
  <c r="R54" i="6"/>
  <c r="R49" i="6"/>
  <c r="P94" i="6"/>
  <c r="P86" i="6"/>
  <c r="P74" i="6"/>
  <c r="P70" i="6"/>
  <c r="P65" i="6"/>
  <c r="P54" i="6"/>
  <c r="P49" i="6"/>
  <c r="J61" i="6"/>
  <c r="AJ104" i="6"/>
  <c r="AJ103" i="6"/>
  <c r="AJ101" i="6"/>
  <c r="AJ100" i="6"/>
  <c r="AJ93" i="6"/>
  <c r="AJ92" i="6"/>
  <c r="AJ91" i="6"/>
  <c r="AJ89" i="6"/>
  <c r="L94" i="6"/>
  <c r="AJ85" i="6"/>
  <c r="AJ80" i="6"/>
  <c r="AJ79" i="6"/>
  <c r="AJ77" i="6"/>
  <c r="AJ76" i="6"/>
  <c r="AJ73" i="6"/>
  <c r="L74" i="6"/>
  <c r="AJ69" i="6"/>
  <c r="AJ68" i="6"/>
  <c r="L70" i="6"/>
  <c r="AJ67" i="6"/>
  <c r="L65" i="6"/>
  <c r="N94" i="6"/>
  <c r="AJ88" i="6"/>
  <c r="N86" i="6"/>
  <c r="AJ84" i="6"/>
  <c r="N74" i="6"/>
  <c r="AJ72" i="6"/>
  <c r="N70" i="6"/>
  <c r="N65" i="6"/>
  <c r="AJ59" i="6"/>
  <c r="N54" i="6"/>
  <c r="N49" i="6"/>
  <c r="AJ53" i="6"/>
  <c r="AJ52" i="6"/>
  <c r="L54" i="6"/>
  <c r="AJ48" i="6"/>
  <c r="AJ47" i="6"/>
  <c r="L49" i="6"/>
  <c r="J54" i="6"/>
  <c r="J49" i="6"/>
  <c r="AH44" i="6"/>
  <c r="AF44" i="6"/>
  <c r="AD44" i="6"/>
  <c r="AB44" i="6"/>
  <c r="Z44" i="6"/>
  <c r="X44" i="6"/>
  <c r="V44" i="6"/>
  <c r="R44" i="6"/>
  <c r="N44" i="6"/>
  <c r="AJ43" i="6"/>
  <c r="AJ42" i="6"/>
  <c r="AJ41" i="6"/>
  <c r="AJ40" i="6"/>
  <c r="AJ39" i="6"/>
  <c r="AJ38" i="6"/>
  <c r="J44" i="6"/>
  <c r="AH35" i="6"/>
  <c r="AF35" i="6"/>
  <c r="AD35" i="6"/>
  <c r="AB35" i="6"/>
  <c r="Z35" i="6"/>
  <c r="X35" i="6"/>
  <c r="V35" i="6"/>
  <c r="T35" i="6"/>
  <c r="R35" i="6"/>
  <c r="AJ37" i="6"/>
  <c r="P35" i="6"/>
  <c r="N35" i="6"/>
  <c r="AJ34" i="6"/>
  <c r="J35" i="6"/>
  <c r="L44" i="6"/>
  <c r="L35" i="6"/>
  <c r="AJ27" i="6"/>
  <c r="AJ25" i="6"/>
  <c r="AJ26" i="6"/>
  <c r="AJ28" i="6"/>
  <c r="AJ29" i="6"/>
  <c r="AJ30" i="6"/>
  <c r="AH31" i="6"/>
  <c r="AF31" i="6"/>
  <c r="AD31" i="6"/>
  <c r="AB31" i="6"/>
  <c r="Z31" i="6"/>
  <c r="X31" i="6"/>
  <c r="V31" i="6"/>
  <c r="R31" i="6"/>
  <c r="P31" i="6"/>
  <c r="N31" i="6"/>
  <c r="L31" i="6"/>
  <c r="AJ22" i="6"/>
  <c r="J17" i="6"/>
  <c r="L14" i="6" s="1"/>
  <c r="L17" i="6" s="1"/>
  <c r="AH23" i="6"/>
  <c r="AF23" i="6"/>
  <c r="AD23" i="6"/>
  <c r="AB23" i="6"/>
  <c r="Z23" i="6"/>
  <c r="X23" i="6"/>
  <c r="V23" i="6"/>
  <c r="T23" i="6"/>
  <c r="R23" i="6"/>
  <c r="P23" i="6"/>
  <c r="N23" i="6"/>
  <c r="L23" i="6"/>
  <c r="AJ21" i="6"/>
  <c r="J23" i="6"/>
  <c r="AJ20" i="6"/>
  <c r="AJ15" i="6"/>
  <c r="AJ16" i="6"/>
  <c r="AJ33" i="6"/>
  <c r="P44" i="6"/>
  <c r="AJ46" i="6"/>
  <c r="AJ51" i="6"/>
  <c r="AJ57" i="6"/>
  <c r="AM57" i="6" s="1"/>
  <c r="T44" i="6"/>
  <c r="T31" i="6"/>
  <c r="L86" i="6"/>
  <c r="AJ90" i="6"/>
  <c r="J31" i="6"/>
  <c r="T94" i="19" l="1"/>
  <c r="X89" i="19"/>
  <c r="X94" i="19" s="1"/>
  <c r="P65" i="19"/>
  <c r="T65" i="19"/>
  <c r="O65" i="19"/>
  <c r="S65" i="19"/>
  <c r="V65" i="19"/>
  <c r="Q65" i="19"/>
  <c r="R65" i="19"/>
  <c r="W65" i="19"/>
  <c r="N65" i="19"/>
  <c r="T60" i="19"/>
  <c r="X60" i="19" s="1"/>
  <c r="X58" i="19"/>
  <c r="U65" i="19"/>
  <c r="M65" i="19"/>
  <c r="AJ82" i="6"/>
  <c r="AM103" i="6"/>
  <c r="AM100" i="6"/>
  <c r="AM59" i="6"/>
  <c r="AJ61" i="6"/>
  <c r="AJ65" i="6"/>
  <c r="AJ54" i="6"/>
  <c r="AJ74" i="6"/>
  <c r="AJ70" i="6"/>
  <c r="AJ94" i="6"/>
  <c r="AJ86" i="6"/>
  <c r="AJ49" i="6"/>
  <c r="AJ44" i="6"/>
  <c r="AJ35" i="6"/>
  <c r="AJ31" i="6"/>
  <c r="N14" i="6"/>
  <c r="AJ17" i="6"/>
  <c r="AJ23" i="6"/>
  <c r="N17" i="6" l="1"/>
  <c r="P14" i="6" l="1"/>
  <c r="P17" i="6" l="1"/>
  <c r="R14" i="6" l="1"/>
  <c r="R17" i="6" s="1"/>
  <c r="T14" i="6" l="1"/>
  <c r="T17" i="6" s="1"/>
  <c r="V14" i="6" l="1"/>
  <c r="V17" i="6" s="1"/>
  <c r="X14" i="6" l="1"/>
  <c r="X17" i="6" s="1"/>
  <c r="Z14" i="6" l="1"/>
  <c r="Z17" i="6" s="1"/>
  <c r="AB14" i="6" l="1"/>
  <c r="AB17" i="6" s="1"/>
  <c r="AD14" i="6" l="1"/>
  <c r="AD17" i="6" s="1"/>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F14" i="6" l="1"/>
  <c r="AF17" i="6" s="1"/>
  <c r="X515" i="1"/>
  <c r="X514" i="1"/>
  <c r="X513" i="1"/>
  <c r="X512" i="1"/>
  <c r="X511" i="1"/>
  <c r="X510" i="1"/>
  <c r="X509" i="1"/>
  <c r="X508" i="1"/>
  <c r="X507" i="1"/>
  <c r="X506" i="1"/>
  <c r="X505" i="1"/>
  <c r="X504" i="1"/>
  <c r="X503"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X470" i="1"/>
  <c r="X469" i="1"/>
  <c r="X468" i="1"/>
  <c r="X467" i="1"/>
  <c r="X466" i="1"/>
  <c r="X465" i="1"/>
  <c r="X464" i="1"/>
  <c r="X463" i="1"/>
  <c r="X462" i="1"/>
  <c r="X461" i="1"/>
  <c r="X460" i="1"/>
  <c r="X459" i="1"/>
  <c r="X458" i="1"/>
  <c r="X457" i="1"/>
  <c r="X456" i="1"/>
  <c r="X455" i="1"/>
  <c r="X454" i="1"/>
  <c r="X453" i="1"/>
  <c r="X452" i="1"/>
  <c r="X451" i="1"/>
  <c r="X450" i="1"/>
  <c r="X449" i="1"/>
  <c r="X448" i="1"/>
  <c r="X447" i="1"/>
  <c r="X446" i="1"/>
  <c r="X445" i="1"/>
  <c r="X444" i="1"/>
  <c r="X443" i="1"/>
  <c r="X442" i="1"/>
  <c r="X441" i="1"/>
  <c r="X440" i="1"/>
  <c r="X439" i="1"/>
  <c r="X438" i="1"/>
  <c r="X437" i="1"/>
  <c r="X436" i="1"/>
  <c r="X435" i="1"/>
  <c r="X434" i="1"/>
  <c r="X433" i="1"/>
  <c r="X432" i="1"/>
  <c r="X431" i="1"/>
  <c r="X430" i="1"/>
  <c r="X429" i="1"/>
  <c r="X428" i="1"/>
  <c r="X427" i="1"/>
  <c r="X426" i="1"/>
  <c r="X425" i="1"/>
  <c r="X424" i="1"/>
  <c r="X423" i="1"/>
  <c r="X422" i="1"/>
  <c r="X421" i="1"/>
  <c r="X420" i="1"/>
  <c r="X419" i="1"/>
  <c r="X418" i="1"/>
  <c r="X417" i="1"/>
  <c r="X416" i="1"/>
  <c r="X415" i="1"/>
  <c r="X414" i="1"/>
  <c r="X413" i="1"/>
  <c r="X412" i="1"/>
  <c r="X411" i="1"/>
  <c r="X410" i="1"/>
  <c r="X409" i="1"/>
  <c r="X408" i="1"/>
  <c r="X407" i="1"/>
  <c r="X406" i="1"/>
  <c r="X405" i="1"/>
  <c r="X404" i="1"/>
  <c r="X403" i="1"/>
  <c r="X402" i="1"/>
  <c r="X401" i="1"/>
  <c r="X400" i="1"/>
  <c r="X399" i="1"/>
  <c r="X398" i="1"/>
  <c r="X397"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1" i="1"/>
  <c r="X370" i="1"/>
  <c r="X369" i="1"/>
  <c r="X368" i="1"/>
  <c r="X367" i="1"/>
  <c r="X366" i="1"/>
  <c r="X365" i="1"/>
  <c r="X364" i="1"/>
  <c r="X363" i="1"/>
  <c r="X362" i="1"/>
  <c r="X361" i="1"/>
  <c r="X360" i="1"/>
  <c r="X359" i="1"/>
  <c r="X358" i="1"/>
  <c r="X357" i="1"/>
  <c r="X356" i="1"/>
  <c r="X355" i="1"/>
  <c r="X354" i="1"/>
  <c r="X353" i="1"/>
  <c r="X352" i="1"/>
  <c r="X351" i="1"/>
  <c r="X350" i="1"/>
  <c r="X349" i="1"/>
  <c r="X348" i="1"/>
  <c r="X347" i="1"/>
  <c r="X346" i="1"/>
  <c r="X345" i="1"/>
  <c r="X344" i="1"/>
  <c r="X343" i="1"/>
  <c r="X342" i="1"/>
  <c r="X341" i="1"/>
  <c r="X340" i="1"/>
  <c r="X339" i="1"/>
  <c r="X338" i="1"/>
  <c r="X337" i="1"/>
  <c r="X336" i="1"/>
  <c r="X335" i="1"/>
  <c r="X334" i="1"/>
  <c r="X333" i="1"/>
  <c r="X332" i="1"/>
  <c r="X331" i="1"/>
  <c r="X330" i="1"/>
  <c r="X329" i="1"/>
  <c r="X328" i="1"/>
  <c r="X327" i="1"/>
  <c r="X326" i="1"/>
  <c r="X325" i="1"/>
  <c r="X324" i="1"/>
  <c r="X323" i="1"/>
  <c r="X322" i="1"/>
  <c r="X321" i="1"/>
  <c r="X320" i="1"/>
  <c r="X319" i="1"/>
  <c r="X318" i="1"/>
  <c r="X317" i="1"/>
  <c r="X316" i="1"/>
  <c r="X315" i="1"/>
  <c r="X314" i="1"/>
  <c r="X313" i="1"/>
  <c r="X312" i="1"/>
  <c r="X311" i="1"/>
  <c r="X310" i="1"/>
  <c r="X309" i="1"/>
  <c r="X308" i="1"/>
  <c r="X307" i="1"/>
  <c r="X306" i="1"/>
  <c r="X305" i="1"/>
  <c r="X304" i="1"/>
  <c r="X303" i="1"/>
  <c r="X302" i="1"/>
  <c r="X301" i="1"/>
  <c r="X300" i="1"/>
  <c r="X299" i="1"/>
  <c r="X298" i="1"/>
  <c r="X297" i="1"/>
  <c r="X296" i="1"/>
  <c r="X295" i="1"/>
  <c r="X294" i="1"/>
  <c r="X293" i="1"/>
  <c r="X292" i="1"/>
  <c r="X291" i="1"/>
  <c r="X290" i="1"/>
  <c r="X289" i="1"/>
  <c r="X288" i="1"/>
  <c r="X287" i="1"/>
  <c r="X286" i="1"/>
  <c r="X285" i="1"/>
  <c r="X284" i="1"/>
  <c r="X283" i="1"/>
  <c r="X282" i="1"/>
  <c r="X281" i="1"/>
  <c r="X280" i="1"/>
  <c r="X279" i="1"/>
  <c r="X278" i="1"/>
  <c r="X277" i="1"/>
  <c r="X276" i="1"/>
  <c r="X275" i="1"/>
  <c r="X274" i="1"/>
  <c r="X273" i="1"/>
  <c r="X272" i="1"/>
  <c r="X271" i="1"/>
  <c r="X270" i="1"/>
  <c r="X269" i="1"/>
  <c r="X268" i="1"/>
  <c r="X267" i="1"/>
  <c r="X266" i="1"/>
  <c r="X265" i="1"/>
  <c r="X264" i="1"/>
  <c r="X263" i="1"/>
  <c r="X262" i="1"/>
  <c r="X261" i="1"/>
  <c r="X260" i="1"/>
  <c r="X259" i="1"/>
  <c r="X258" i="1"/>
  <c r="X257" i="1"/>
  <c r="X256" i="1"/>
  <c r="X255" i="1"/>
  <c r="X254" i="1"/>
  <c r="X253" i="1"/>
  <c r="X252" i="1"/>
  <c r="X251" i="1"/>
  <c r="X250" i="1"/>
  <c r="X249" i="1"/>
  <c r="X248" i="1"/>
  <c r="X247" i="1"/>
  <c r="X246" i="1"/>
  <c r="X245" i="1"/>
  <c r="X244" i="1"/>
  <c r="X243" i="1"/>
  <c r="X242" i="1"/>
  <c r="X241" i="1"/>
  <c r="X240" i="1"/>
  <c r="X239" i="1"/>
  <c r="X238" i="1"/>
  <c r="X237" i="1"/>
  <c r="X236" i="1"/>
  <c r="X235" i="1"/>
  <c r="X234" i="1"/>
  <c r="X233" i="1"/>
  <c r="X232" i="1"/>
  <c r="X231" i="1"/>
  <c r="X230" i="1"/>
  <c r="X229" i="1"/>
  <c r="X228" i="1"/>
  <c r="X227" i="1"/>
  <c r="X226" i="1"/>
  <c r="X225" i="1"/>
  <c r="X224" i="1"/>
  <c r="X223" i="1"/>
  <c r="X222" i="1"/>
  <c r="X221" i="1"/>
  <c r="X220" i="1"/>
  <c r="X219" i="1"/>
  <c r="X218" i="1"/>
  <c r="X217" i="1"/>
  <c r="X216" i="1"/>
  <c r="X215" i="1"/>
  <c r="X214" i="1"/>
  <c r="X213" i="1"/>
  <c r="X212" i="1"/>
  <c r="X211" i="1"/>
  <c r="X210" i="1"/>
  <c r="X209" i="1"/>
  <c r="X208" i="1"/>
  <c r="X207" i="1"/>
  <c r="X206" i="1"/>
  <c r="X205" i="1"/>
  <c r="X204" i="1"/>
  <c r="X203" i="1"/>
  <c r="X202" i="1"/>
  <c r="X201" i="1"/>
  <c r="X200"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4" i="1"/>
  <c r="X173" i="1"/>
  <c r="X172" i="1"/>
  <c r="X171" i="1"/>
  <c r="X170" i="1"/>
  <c r="X169" i="1"/>
  <c r="X168" i="1"/>
  <c r="X167" i="1"/>
  <c r="X166" i="1"/>
  <c r="X165" i="1"/>
  <c r="X164" i="1"/>
  <c r="X163" i="1"/>
  <c r="X162" i="1"/>
  <c r="X161" i="1"/>
  <c r="X160" i="1"/>
  <c r="X159" i="1"/>
  <c r="X158" i="1"/>
  <c r="X157" i="1"/>
  <c r="X156" i="1"/>
  <c r="X155" i="1"/>
  <c r="X154" i="1"/>
  <c r="X153" i="1"/>
  <c r="X152" i="1"/>
  <c r="X151" i="1"/>
  <c r="X150" i="1"/>
  <c r="X149" i="1"/>
  <c r="X148" i="1"/>
  <c r="X147" i="1"/>
  <c r="X146" i="1"/>
  <c r="X145" i="1"/>
  <c r="X144" i="1"/>
  <c r="X143" i="1"/>
  <c r="X142" i="1"/>
  <c r="X141" i="1"/>
  <c r="X140" i="1"/>
  <c r="X139" i="1"/>
  <c r="X138" i="1"/>
  <c r="X137" i="1"/>
  <c r="X136" i="1"/>
  <c r="X135" i="1"/>
  <c r="X134" i="1"/>
  <c r="X133" i="1"/>
  <c r="X132" i="1"/>
  <c r="X131" i="1"/>
  <c r="X130" i="1"/>
  <c r="X129" i="1"/>
  <c r="X128" i="1"/>
  <c r="X127" i="1"/>
  <c r="X126" i="1"/>
  <c r="X125" i="1"/>
  <c r="X124" i="1"/>
  <c r="X123" i="1"/>
  <c r="X122" i="1"/>
  <c r="X121" i="1"/>
  <c r="X120" i="1"/>
  <c r="X119" i="1"/>
  <c r="X118" i="1"/>
  <c r="X117" i="1"/>
  <c r="X116" i="1"/>
  <c r="X115"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A58" i="1"/>
  <c r="L64" i="19" l="1"/>
  <c r="X64" i="19" s="1"/>
  <c r="L63" i="19"/>
  <c r="AH14" i="6"/>
  <c r="L65" i="19" l="1"/>
  <c r="X65" i="19" s="1"/>
  <c r="X63" i="19"/>
  <c r="AJ14" i="6"/>
  <c r="AH17" i="6"/>
</calcChain>
</file>

<file path=xl/sharedStrings.xml><?xml version="1.0" encoding="utf-8"?>
<sst xmlns="http://schemas.openxmlformats.org/spreadsheetml/2006/main" count="3164" uniqueCount="359">
  <si>
    <t>x</t>
  </si>
  <si>
    <t>worked</t>
  </si>
  <si>
    <t>available</t>
  </si>
  <si>
    <t>Wage</t>
  </si>
  <si>
    <t xml:space="preserve">(day, month, year) </t>
  </si>
  <si>
    <t>NOT EMPLOYED</t>
  </si>
  <si>
    <t xml:space="preserve">NOT EMPLOYED </t>
  </si>
  <si>
    <r>
      <t xml:space="preserve">CLIENT DISCHARGED </t>
    </r>
    <r>
      <rPr>
        <b/>
        <u/>
        <sz val="8"/>
        <color rgb="FF0070C0"/>
        <rFont val="Calibri"/>
        <family val="2"/>
        <scheme val="minor"/>
      </rPr>
      <t>Populated</t>
    </r>
  </si>
  <si>
    <t xml:space="preserve">Service Status with Client  (Current) </t>
  </si>
  <si>
    <t xml:space="preserve">JOB                SUPPORT LEVEL </t>
  </si>
  <si>
    <t>NAME OF EMPLOYER</t>
  </si>
  <si>
    <t xml:space="preserve">TYPE OF JOB  (Job Title) </t>
  </si>
  <si>
    <t>JOB  BENEFITS</t>
  </si>
  <si>
    <t>JOB- Reason for any Reduction In hours</t>
  </si>
  <si>
    <t>Hours Per Month Worked</t>
  </si>
  <si>
    <t>Wage   Increase</t>
  </si>
  <si>
    <t>Rate of Pay</t>
  </si>
  <si>
    <t xml:space="preserve">Job Start Date  </t>
  </si>
  <si>
    <t xml:space="preserve">Funding Sources </t>
  </si>
  <si>
    <t>Actively Employed</t>
  </si>
  <si>
    <t xml:space="preserve">ACTIVELY ENROLLED DURING OF THIS MONTH </t>
  </si>
  <si>
    <r>
      <t xml:space="preserve">Intake Number - Internal Client I.D. </t>
    </r>
    <r>
      <rPr>
        <sz val="7.5"/>
        <color rgb="FF0070C0"/>
        <rFont val="Calibri"/>
        <family val="2"/>
        <scheme val="minor"/>
      </rPr>
      <t xml:space="preserve">(populated) </t>
    </r>
  </si>
  <si>
    <r>
      <t xml:space="preserve">Internal Space for Grantee </t>
    </r>
    <r>
      <rPr>
        <sz val="7.5"/>
        <color rgb="FF0070C0"/>
        <rFont val="Calibri"/>
        <family val="2"/>
        <scheme val="minor"/>
      </rPr>
      <t xml:space="preserve">(populated) </t>
    </r>
  </si>
  <si>
    <t>#</t>
  </si>
  <si>
    <r>
      <t xml:space="preserve"> </t>
    </r>
    <r>
      <rPr>
        <sz val="11"/>
        <color theme="9" tint="-0.249977111117893"/>
        <rFont val="Calibri"/>
        <family val="2"/>
        <scheme val="minor"/>
      </rPr>
      <t xml:space="preserve"> (Brown font indicates a drop-down box)                       </t>
    </r>
    <r>
      <rPr>
        <sz val="11"/>
        <color theme="8" tint="0.79998168889431442"/>
        <rFont val="Calibri"/>
        <family val="2"/>
        <scheme val="minor"/>
      </rPr>
      <t xml:space="preserve">(Blue font has populated from Client Enrollment discharge tab) </t>
    </r>
  </si>
  <si>
    <t>Narrative:</t>
  </si>
  <si>
    <t>July 1 - 31</t>
  </si>
  <si>
    <r>
      <rPr>
        <b/>
        <sz val="10"/>
        <color rgb="FFFF0000"/>
        <rFont val="Calibri"/>
        <family val="2"/>
        <scheme val="minor"/>
      </rPr>
      <t xml:space="preserve">Month/Year Being Reported </t>
    </r>
    <r>
      <rPr>
        <b/>
        <sz val="8"/>
        <color rgb="FFFF0000"/>
        <rFont val="Calibri"/>
        <family val="2"/>
        <scheme val="minor"/>
      </rPr>
      <t xml:space="preserve">(Drop-Down box) </t>
    </r>
  </si>
  <si>
    <r>
      <rPr>
        <b/>
        <sz val="11"/>
        <color theme="1"/>
        <rFont val="Calibri"/>
        <family val="2"/>
        <scheme val="minor"/>
      </rPr>
      <t>Grant Number:</t>
    </r>
    <r>
      <rPr>
        <b/>
        <sz val="12"/>
        <color theme="1"/>
        <rFont val="Calibri"/>
        <family val="2"/>
        <scheme val="minor"/>
      </rPr>
      <t xml:space="preserve"> </t>
    </r>
    <r>
      <rPr>
        <b/>
        <sz val="8"/>
        <color theme="1"/>
        <rFont val="Calibri"/>
        <family val="2"/>
        <scheme val="minor"/>
      </rPr>
      <t xml:space="preserve">(located on Grant Agreement) </t>
    </r>
  </si>
  <si>
    <t>Physical Address of Program:</t>
  </si>
  <si>
    <t>Contact Name(s):</t>
  </si>
  <si>
    <r>
      <t xml:space="preserve">Name of Program: </t>
    </r>
    <r>
      <rPr>
        <b/>
        <sz val="8"/>
        <color theme="1"/>
        <rFont val="Calibri"/>
        <family val="2"/>
        <scheme val="minor"/>
      </rPr>
      <t>(given by Grantee)</t>
    </r>
  </si>
  <si>
    <t>Grantee Name:</t>
  </si>
  <si>
    <r>
      <t xml:space="preserve">Program: </t>
    </r>
    <r>
      <rPr>
        <b/>
        <sz val="8"/>
        <color theme="1"/>
        <rFont val="Calibri"/>
        <family val="2"/>
        <scheme val="minor"/>
      </rPr>
      <t>(same as on Statement of Work [SOW])</t>
    </r>
  </si>
  <si>
    <r>
      <t xml:space="preserve">CLIENT DISCHARGED </t>
    </r>
    <r>
      <rPr>
        <b/>
        <sz val="8"/>
        <color rgb="FF0070C0"/>
        <rFont val="Calibri"/>
        <family val="2"/>
        <scheme val="minor"/>
      </rPr>
      <t>Populated</t>
    </r>
  </si>
  <si>
    <t>Reason Reduction in Hours</t>
  </si>
  <si>
    <t>Hours Worked</t>
  </si>
  <si>
    <t>Hours available</t>
  </si>
  <si>
    <t xml:space="preserve">Wage Increase </t>
  </si>
  <si>
    <t>Rate of Pay Wages</t>
  </si>
  <si>
    <t>Not Employed CBA</t>
  </si>
  <si>
    <r>
      <t xml:space="preserve">Intake Number - Internal Client I.D. </t>
    </r>
    <r>
      <rPr>
        <b/>
        <sz val="7.5"/>
        <color rgb="FF0070C0"/>
        <rFont val="Calibri"/>
        <family val="2"/>
        <scheme val="minor"/>
      </rPr>
      <t xml:space="preserve">(populated) </t>
    </r>
  </si>
  <si>
    <r>
      <t xml:space="preserve">Internal Space for Grantee </t>
    </r>
    <r>
      <rPr>
        <b/>
        <sz val="7.5"/>
        <color rgb="FF0070C0"/>
        <rFont val="Calibri"/>
        <family val="2"/>
        <scheme val="minor"/>
      </rPr>
      <t xml:space="preserve">(populated) </t>
    </r>
  </si>
  <si>
    <t>NO</t>
  </si>
  <si>
    <t>xx</t>
  </si>
  <si>
    <t>Customized Employment</t>
  </si>
  <si>
    <t xml:space="preserve">Program reports need to be submitted electronically, via e-mail to DHHRBBHReporting@wv.gov  within 25 calendar days of the end of each month </t>
  </si>
  <si>
    <t>job benefits</t>
  </si>
  <si>
    <t>DRS</t>
  </si>
  <si>
    <t>Developmental</t>
  </si>
  <si>
    <t>African American/ Black</t>
  </si>
  <si>
    <t xml:space="preserve">Hispanic/Latino Origin </t>
  </si>
  <si>
    <t>YES</t>
  </si>
  <si>
    <t>Waiver</t>
  </si>
  <si>
    <t>Intellectual</t>
  </si>
  <si>
    <t>American Indian/ Alaskan Native</t>
  </si>
  <si>
    <t>Not Hispanic or Latino</t>
  </si>
  <si>
    <t>TBI</t>
  </si>
  <si>
    <t>Asian</t>
  </si>
  <si>
    <t>Hispanic/ Latino</t>
  </si>
  <si>
    <t>Native Hawaiian/ Other Pacific Islander</t>
  </si>
  <si>
    <t xml:space="preserve">Unknown </t>
  </si>
  <si>
    <t>White</t>
  </si>
  <si>
    <t>More than One Race Reported</t>
  </si>
  <si>
    <t>Unknown</t>
  </si>
  <si>
    <t>Prevocational, Resume Building</t>
  </si>
  <si>
    <t>Prevocational, Job Interview Skills</t>
  </si>
  <si>
    <t xml:space="preserve"> Code</t>
  </si>
  <si>
    <t>Prevocational, Personal Hygiene</t>
  </si>
  <si>
    <t>August 1 - 31</t>
  </si>
  <si>
    <t>Prevocational, Job Searching Skills</t>
  </si>
  <si>
    <t>Services Stopped</t>
  </si>
  <si>
    <t>Sept 1 - 30</t>
  </si>
  <si>
    <t>Prevocational, Assistance with Application</t>
  </si>
  <si>
    <t>No services Provided</t>
  </si>
  <si>
    <t>Oct 1 - 31</t>
  </si>
  <si>
    <t>CBA, Job Exploration</t>
  </si>
  <si>
    <t>New Participant Starting</t>
  </si>
  <si>
    <t>Nov 1 - 30</t>
  </si>
  <si>
    <t xml:space="preserve">CBA, Discovery </t>
  </si>
  <si>
    <t>New Job Starting</t>
  </si>
  <si>
    <t>Dec 1 - 31</t>
  </si>
  <si>
    <t xml:space="preserve">No Change </t>
  </si>
  <si>
    <t>Jan 1 - 31</t>
  </si>
  <si>
    <t xml:space="preserve">REASON FOR REDUCTION IN SCHEDULED WORK HOURS </t>
  </si>
  <si>
    <t>Mar 1 - 31</t>
  </si>
  <si>
    <t>No Work Available</t>
  </si>
  <si>
    <t>April 1 - 30</t>
  </si>
  <si>
    <t>Individual sick</t>
  </si>
  <si>
    <t>May 1 - 31</t>
  </si>
  <si>
    <t xml:space="preserve">Individual chose not to work </t>
  </si>
  <si>
    <t>SUPPORT LEVEL</t>
  </si>
  <si>
    <t>June 1 - 30</t>
  </si>
  <si>
    <t>Independently working</t>
  </si>
  <si>
    <t>Integrated with employer providing all supports (natural/internal)</t>
  </si>
  <si>
    <t xml:space="preserve">Prior Contact </t>
  </si>
  <si>
    <t xml:space="preserve">Partial support </t>
  </si>
  <si>
    <t>New Contact</t>
  </si>
  <si>
    <t>Supported Employment staff always present.</t>
  </si>
  <si>
    <t>Accommodations provided at worksite</t>
  </si>
  <si>
    <t>Group/enclave work situation</t>
  </si>
  <si>
    <t>FY</t>
  </si>
  <si>
    <r>
      <t xml:space="preserve">Receiving CE Services </t>
    </r>
    <r>
      <rPr>
        <b/>
        <sz val="7.5"/>
        <color theme="7" tint="-0.499984740745262"/>
        <rFont val="Calibri"/>
        <family val="2"/>
        <scheme val="minor"/>
      </rPr>
      <t xml:space="preserve"> Pre-Vocation</t>
    </r>
  </si>
  <si>
    <r>
      <t xml:space="preserve"> Receiving CE Services </t>
    </r>
    <r>
      <rPr>
        <b/>
        <sz val="8"/>
        <color theme="7" tint="-0.499984740745262"/>
        <rFont val="Calibri"/>
        <family val="2"/>
        <scheme val="minor"/>
      </rPr>
      <t xml:space="preserve"> </t>
    </r>
    <r>
      <rPr>
        <sz val="8"/>
        <color theme="7" tint="-0.499984740745262"/>
        <rFont val="Calibri"/>
        <family val="2"/>
        <scheme val="minor"/>
      </rPr>
      <t xml:space="preserve">  </t>
    </r>
    <r>
      <rPr>
        <b/>
        <sz val="8"/>
        <color theme="7" tint="-0.499984740745262"/>
        <rFont val="Calibri"/>
        <family val="2"/>
        <scheme val="minor"/>
      </rPr>
      <t xml:space="preserve">CBA </t>
    </r>
  </si>
  <si>
    <t>`</t>
  </si>
  <si>
    <t xml:space="preserve">NOTE SECTION FOR COLUMN H </t>
  </si>
  <si>
    <t xml:space="preserve">Funding Sources Other than CE Grant </t>
  </si>
  <si>
    <t xml:space="preserve">Other (Specify) </t>
  </si>
  <si>
    <t>Internal Space for Grantee</t>
  </si>
  <si>
    <t>Internal Client I.D.</t>
  </si>
  <si>
    <t xml:space="preserve">Date Enrolled in CE </t>
  </si>
  <si>
    <t>Disability Group</t>
  </si>
  <si>
    <t xml:space="preserve">Age at Admission </t>
  </si>
  <si>
    <t>Gender</t>
  </si>
  <si>
    <t>Race</t>
  </si>
  <si>
    <t xml:space="preserve">Hispanic Origin </t>
  </si>
  <si>
    <t>Dis-charged          (Yes No)</t>
  </si>
  <si>
    <t>Discharge Date</t>
  </si>
  <si>
    <t>NOTES</t>
  </si>
  <si>
    <t>Date Enrolled in CE</t>
  </si>
  <si>
    <r>
      <rPr>
        <sz val="10"/>
        <color theme="1"/>
        <rFont val="Calibri"/>
        <family val="2"/>
        <scheme val="minor"/>
      </rPr>
      <t xml:space="preserve">Age at Admission </t>
    </r>
    <r>
      <rPr>
        <sz val="9"/>
        <color theme="1"/>
        <rFont val="Calibri"/>
        <family val="2"/>
        <scheme val="minor"/>
      </rPr>
      <t xml:space="preserve">        </t>
    </r>
    <r>
      <rPr>
        <sz val="8"/>
        <color theme="1"/>
        <rFont val="Calibri"/>
        <family val="2"/>
        <scheme val="minor"/>
      </rPr>
      <t xml:space="preserve"> (use a number do not spell out) </t>
    </r>
  </si>
  <si>
    <t>Client Discharged</t>
  </si>
  <si>
    <t>Receiving CE Services  Pre-Vocation</t>
  </si>
  <si>
    <t xml:space="preserve">Program Code: (located on TFB or SOW) </t>
  </si>
  <si>
    <t>Contact Phone(s):</t>
  </si>
  <si>
    <r>
      <t xml:space="preserve">Program Code: </t>
    </r>
    <r>
      <rPr>
        <b/>
        <sz val="8"/>
        <rFont val="Calibri"/>
        <family val="2"/>
        <scheme val="minor"/>
      </rPr>
      <t xml:space="preserve">(located on TFB or SOW) </t>
    </r>
  </si>
  <si>
    <t xml:space="preserve">Lines 5 -9 except for Month/Year will populate to other tabs (All changes will need to be completed on this tab) (The date will only populate to Business Contacts and Presentations tab)  </t>
  </si>
  <si>
    <r>
      <t xml:space="preserve">At the beginning of the fiscal year, carry-over all individuals enrolled in the program; afterward include everyone as they are enrolled.  </t>
    </r>
    <r>
      <rPr>
        <sz val="11"/>
        <color theme="7" tint="0.39997558519241921"/>
        <rFont val="Calibri"/>
        <family val="2"/>
        <scheme val="minor"/>
      </rPr>
      <t xml:space="preserve"> (Brown font indicates a drop-down box)</t>
    </r>
    <r>
      <rPr>
        <sz val="11"/>
        <color theme="9" tint="-0.249977111117893"/>
        <rFont val="Calibri"/>
        <family val="2"/>
        <scheme val="minor"/>
      </rPr>
      <t xml:space="preserve"> (</t>
    </r>
    <r>
      <rPr>
        <sz val="11"/>
        <color theme="8" tint="0.79998168889431442"/>
        <rFont val="Calibri"/>
        <family val="2"/>
        <scheme val="minor"/>
      </rPr>
      <t xml:space="preserve">Blue box will populate to other tabs) </t>
    </r>
  </si>
  <si>
    <t>Male</t>
  </si>
  <si>
    <t>Female</t>
  </si>
  <si>
    <t>American Indian / Alaska Native</t>
  </si>
  <si>
    <t>More than one race reported</t>
  </si>
  <si>
    <t>Native Hawaiian / Other Pacific Islander</t>
  </si>
  <si>
    <t xml:space="preserve">NOTE SECTION FOR COLUMN J </t>
  </si>
  <si>
    <r>
      <t xml:space="preserve">Internal Space for Grantee </t>
    </r>
    <r>
      <rPr>
        <b/>
        <sz val="7.5"/>
        <color rgb="FF0070C0"/>
        <rFont val="Calibri"/>
        <family val="2"/>
        <scheme val="minor"/>
      </rPr>
      <t xml:space="preserve">(will populate to other tabs) </t>
    </r>
  </si>
  <si>
    <r>
      <t xml:space="preserve">Intake Number - Internal Client I.D. </t>
    </r>
    <r>
      <rPr>
        <b/>
        <sz val="7.5"/>
        <color rgb="FF0070C0"/>
        <rFont val="Calibri"/>
        <family val="2"/>
        <scheme val="minor"/>
      </rPr>
      <t xml:space="preserve">(will populate to other tabs) </t>
    </r>
  </si>
  <si>
    <r>
      <t xml:space="preserve">Grant Number: </t>
    </r>
    <r>
      <rPr>
        <b/>
        <sz val="8"/>
        <color theme="1"/>
        <rFont val="Calibri"/>
        <family val="2"/>
        <scheme val="minor"/>
      </rPr>
      <t xml:space="preserve">(located on Grant Agreement) </t>
    </r>
  </si>
  <si>
    <t>Date</t>
  </si>
  <si>
    <t>Meeting(s) with Businesses (LIST)</t>
  </si>
  <si>
    <t>Prior/New Contact</t>
  </si>
  <si>
    <t>Outcome</t>
  </si>
  <si>
    <t>Led to Job Placement</t>
  </si>
  <si>
    <r>
      <rPr>
        <b/>
        <sz val="11"/>
        <rFont val="Calibri"/>
        <family val="2"/>
        <scheme val="minor"/>
      </rPr>
      <t xml:space="preserve">Program Code: </t>
    </r>
    <r>
      <rPr>
        <b/>
        <sz val="8"/>
        <rFont val="Calibri"/>
        <family val="2"/>
        <scheme val="minor"/>
      </rPr>
      <t xml:space="preserve">(located on TFB or SOW) </t>
    </r>
  </si>
  <si>
    <t>Feb 1 - 28/29</t>
  </si>
  <si>
    <t xml:space="preserve">Lines 5 -9: Information, except for date, will populate from CLIENT ENROLLMENT DISCHARGE tab. (All changes, except for date, will need to be completed on this tab) (The date will only populate to Business Contacts and Presentations tab)  </t>
  </si>
  <si>
    <t xml:space="preserve">Presentation(s) to Local/ Civil Community Groups (List) </t>
  </si>
  <si>
    <t xml:space="preserve">Business Contact(s) </t>
  </si>
  <si>
    <t xml:space="preserve">Follow-up with Business Contact(s) </t>
  </si>
  <si>
    <t>Contact Phone:</t>
  </si>
  <si>
    <t>OUTPUTS PERFORMANCE MEASURES:</t>
  </si>
  <si>
    <t xml:space="preserve">SECTION 1- GENERAL INFORMATION  </t>
  </si>
  <si>
    <t xml:space="preserve">Individual Enrollment/Discharges/Transfers </t>
  </si>
  <si>
    <t xml:space="preserve">Carry - Over </t>
  </si>
  <si>
    <t>July</t>
  </si>
  <si>
    <t>August</t>
  </si>
  <si>
    <t>September</t>
  </si>
  <si>
    <t>October</t>
  </si>
  <si>
    <t>November</t>
  </si>
  <si>
    <t>December</t>
  </si>
  <si>
    <t>January</t>
  </si>
  <si>
    <t>February</t>
  </si>
  <si>
    <t>March</t>
  </si>
  <si>
    <t>April</t>
  </si>
  <si>
    <t>May</t>
  </si>
  <si>
    <t>June</t>
  </si>
  <si>
    <t>TOTAL TO DATE</t>
  </si>
  <si>
    <t>Total Unduplicated at Beginning of Month</t>
  </si>
  <si>
    <t>Total Unduplicated Enrolled</t>
  </si>
  <si>
    <t>Number of Unduplicated Discharges/Transfers</t>
  </si>
  <si>
    <t>Total End of Month</t>
  </si>
  <si>
    <t xml:space="preserve">SECTION 2 - INITIAL INFORMATION  (ENROLLMENT - DISCHARGES) </t>
  </si>
  <si>
    <t>Disability Group  (Initial Information)</t>
  </si>
  <si>
    <t xml:space="preserve">TBI </t>
  </si>
  <si>
    <t xml:space="preserve"> DISABILITY GROUP (Based on Enrollment) TOTAL: </t>
  </si>
  <si>
    <t xml:space="preserve">Client Age Range  - (Initial Information) </t>
  </si>
  <si>
    <t>Ages 18-20</t>
  </si>
  <si>
    <t>Ages 21-24</t>
  </si>
  <si>
    <t>Ages 25-44</t>
  </si>
  <si>
    <t>Ages 45-64</t>
  </si>
  <si>
    <t>Ages 65-74</t>
  </si>
  <si>
    <t>Ages 75 and older</t>
  </si>
  <si>
    <t xml:space="preserve"> CLIENT AGE RANGE (Based on Enrollment) TOTAL: </t>
  </si>
  <si>
    <t xml:space="preserve"> GENDER (Based on Enrollment) TOTAL: </t>
  </si>
  <si>
    <t xml:space="preserve"> RACE (Based on Enrollment) TOTAL: </t>
  </si>
  <si>
    <t>Hispanic/ Latino Origin (Initial Information</t>
  </si>
  <si>
    <t xml:space="preserve">Hispanic/ Latino </t>
  </si>
  <si>
    <t xml:space="preserve">HISPANIC - LATINO ORIGIN (Based on Enrollment) TOTAL: </t>
  </si>
  <si>
    <t xml:space="preserve">Funding Sources (Initial Information) </t>
  </si>
  <si>
    <t>Other</t>
  </si>
  <si>
    <t xml:space="preserve"> FUNDING SOURCE (Based on Enrollment) TOTAL: </t>
  </si>
  <si>
    <t>SECTION 3 - INFORMATION COLLECTED MONTHLY  (Active Clients)</t>
  </si>
  <si>
    <r>
      <t xml:space="preserve">NOT EMPLOYED - Types of Customized Employment Receiving </t>
    </r>
    <r>
      <rPr>
        <b/>
        <i/>
        <sz val="10"/>
        <color rgb="FFFF0000"/>
        <rFont val="Calibri"/>
        <family val="2"/>
        <scheme val="minor"/>
      </rPr>
      <t xml:space="preserve">(Pre Voc and CBS - may contain duplicate numbers of clients not actively employed) </t>
    </r>
  </si>
  <si>
    <t xml:space="preserve"> NOT EMPLOYED - RECEIVING SERVICES TOTAL: </t>
  </si>
  <si>
    <t xml:space="preserve"> ACTIVELY EMPLOYED (During Month) TOTAL: </t>
  </si>
  <si>
    <t xml:space="preserve">Funding Sources (Information Collected Monthly) </t>
  </si>
  <si>
    <t xml:space="preserve">FUNDING SOURCE (During Month) TOTAL: </t>
  </si>
  <si>
    <t xml:space="preserve">Wages Increased </t>
  </si>
  <si>
    <t xml:space="preserve">WAGES INCREASED [BOTH YES/NO] (During Month)TOTAL: </t>
  </si>
  <si>
    <t>Hours Worked During the Month</t>
  </si>
  <si>
    <t xml:space="preserve">If Hours Reduced, Reason for Reduction </t>
  </si>
  <si>
    <t>Individual Sick</t>
  </si>
  <si>
    <t xml:space="preserve">Job Has Benefits </t>
  </si>
  <si>
    <t xml:space="preserve">JOB HAS BENEFITS (YES/NO) (During Month) TOTAL: </t>
  </si>
  <si>
    <t xml:space="preserve">Job - Support Level </t>
  </si>
  <si>
    <t xml:space="preserve">JOB - SUPPORT LEVEL(During Month) TOTAL: </t>
  </si>
  <si>
    <t xml:space="preserve">SECTION 4 - BUSINESS CONTACTS </t>
  </si>
  <si>
    <t xml:space="preserve">Contact with Businesses </t>
  </si>
  <si>
    <t>Prior Contact</t>
  </si>
  <si>
    <t xml:space="preserve">Prior Contact Led to Job Placement </t>
  </si>
  <si>
    <t xml:space="preserve">New Contact Led to Job Placement </t>
  </si>
  <si>
    <t xml:space="preserve">Month/Year Being Reported </t>
  </si>
  <si>
    <r>
      <t xml:space="preserve">Program Code: </t>
    </r>
    <r>
      <rPr>
        <b/>
        <sz val="8"/>
        <color theme="1"/>
        <rFont val="Calibri"/>
        <family val="2"/>
        <scheme val="minor"/>
      </rPr>
      <t xml:space="preserve">(located on TFB or SOW) </t>
    </r>
  </si>
  <si>
    <t xml:space="preserve"> Receiving CE Services    CBA </t>
  </si>
  <si>
    <r>
      <rPr>
        <b/>
        <sz val="9"/>
        <color rgb="FFFF0000"/>
        <rFont val="Calibri"/>
        <family val="2"/>
        <scheme val="minor"/>
      </rPr>
      <t>Pre-Vocation</t>
    </r>
    <r>
      <rPr>
        <b/>
        <sz val="9"/>
        <color theme="1"/>
        <rFont val="Calibri"/>
        <family val="2"/>
        <scheme val="minor"/>
      </rPr>
      <t xml:space="preserve"> </t>
    </r>
    <r>
      <rPr>
        <b/>
        <sz val="7.5"/>
        <color theme="1"/>
        <rFont val="Calibri"/>
        <family val="2"/>
        <scheme val="minor"/>
      </rPr>
      <t>(Resume Building, Job Interview Skills, mock interviews; personal hygiene and appropriate work attire; job searching skills; assistance with application on line and pap</t>
    </r>
    <r>
      <rPr>
        <b/>
        <sz val="9"/>
        <color theme="1"/>
        <rFont val="Calibri"/>
        <family val="2"/>
        <scheme val="minor"/>
      </rPr>
      <t xml:space="preserve">er)  YES  </t>
    </r>
  </si>
  <si>
    <r>
      <rPr>
        <b/>
        <sz val="9"/>
        <color rgb="FFFF0000"/>
        <rFont val="Calibri"/>
        <family val="2"/>
        <scheme val="minor"/>
      </rPr>
      <t>Pre-Vocation</t>
    </r>
    <r>
      <rPr>
        <b/>
        <sz val="9"/>
        <color theme="1"/>
        <rFont val="Calibri"/>
        <family val="2"/>
        <scheme val="minor"/>
      </rPr>
      <t xml:space="preserve"> </t>
    </r>
    <r>
      <rPr>
        <b/>
        <sz val="7.5"/>
        <color theme="1"/>
        <rFont val="Calibri"/>
        <family val="2"/>
        <scheme val="minor"/>
      </rPr>
      <t>(Resume Building, Job Interview Skills, mock interviews; personal hygiene and appropriate work attire; job searching skills; assistance with application on line and pap</t>
    </r>
    <r>
      <rPr>
        <b/>
        <sz val="9"/>
        <color theme="1"/>
        <rFont val="Calibri"/>
        <family val="2"/>
        <scheme val="minor"/>
      </rPr>
      <t>er)  NO</t>
    </r>
  </si>
  <si>
    <r>
      <rPr>
        <b/>
        <sz val="9"/>
        <color rgb="FFFF0000"/>
        <rFont val="Calibri"/>
        <family val="2"/>
        <scheme val="minor"/>
      </rPr>
      <t>Community Based Assessment (CBA)</t>
    </r>
    <r>
      <rPr>
        <b/>
        <sz val="9"/>
        <color theme="1"/>
        <rFont val="Calibri"/>
        <family val="2"/>
        <scheme val="minor"/>
      </rPr>
      <t xml:space="preserve"> Job Exploration, Discovery   YES</t>
    </r>
  </si>
  <si>
    <r>
      <rPr>
        <b/>
        <sz val="9"/>
        <color rgb="FFFF0000"/>
        <rFont val="Calibri"/>
        <family val="2"/>
        <scheme val="minor"/>
      </rPr>
      <t>Community Based Assessment (CBA)</t>
    </r>
    <r>
      <rPr>
        <b/>
        <sz val="9"/>
        <color theme="1"/>
        <rFont val="Calibri"/>
        <family val="2"/>
        <scheme val="minor"/>
      </rPr>
      <t xml:space="preserve"> Job Exploration, Discovery  NO</t>
    </r>
  </si>
  <si>
    <t xml:space="preserve">TOTAL: </t>
  </si>
  <si>
    <t>JOB  HAS BENEFITS</t>
  </si>
  <si>
    <t>Hours Available (TOTAL ALL CLIENTS)</t>
  </si>
  <si>
    <t xml:space="preserve">Hours Worked (TOTAL ALL CLIENTS) </t>
  </si>
  <si>
    <t xml:space="preserve">SECTION 5 - PRESENTATIONS </t>
  </si>
  <si>
    <t xml:space="preserve">Number of Presentations </t>
  </si>
  <si>
    <t xml:space="preserve">Month/Year Being Reported (Drop-Down box) </t>
  </si>
  <si>
    <t xml:space="preserve">This line can be locked by going to View, Freeze Panes, Freeze Top Row;  As the Lines get longer, this may be helpful in completing the form </t>
  </si>
  <si>
    <t xml:space="preserve">Name of program with the version of the form; please make sure you are using the most up-to-date form. Note If the form has "working draft" it is not the correct version.  </t>
  </si>
  <si>
    <t xml:space="preserve">Grant Year:  Fiscal Year (Date range of Grant) </t>
  </si>
  <si>
    <t xml:space="preserve">Reminder that Program reports need to be submitted electronically, via e-mail to  DHHRBBHReporting@wv.gov   within 25 calendar days of the end of each month   You can certainly cc other individuals; however, it is critical that all forms be sent to this e-mail address. </t>
  </si>
  <si>
    <t>Line 2</t>
  </si>
  <si>
    <t>Line 3</t>
  </si>
  <si>
    <t>Line 4</t>
  </si>
  <si>
    <t>Lines 5-9</t>
  </si>
  <si>
    <t xml:space="preserve">Grantee - Program Information: ON LINES 5 - 10:  Will Populate from CLIENT ENROLLMENT DISCHARGE TAB - Changes will need to be made </t>
  </si>
  <si>
    <t xml:space="preserve">Lines 13&gt;: Column A </t>
  </si>
  <si>
    <t>Line 11</t>
  </si>
  <si>
    <r>
      <t xml:space="preserve">Automatically numbers the Lines - </t>
    </r>
    <r>
      <rPr>
        <b/>
        <sz val="11"/>
        <color theme="1"/>
        <rFont val="Calibri"/>
        <family val="2"/>
        <scheme val="minor"/>
      </rPr>
      <t>There are approximately 200 lines for input of  data.</t>
    </r>
    <r>
      <rPr>
        <sz val="11"/>
        <color theme="1"/>
        <rFont val="Calibri"/>
        <family val="2"/>
        <scheme val="minor"/>
      </rPr>
      <t xml:space="preserve">  </t>
    </r>
  </si>
  <si>
    <t>Lines 13&gt;: Column B</t>
  </si>
  <si>
    <t xml:space="preserve">Date of Event: Enter date  Month/Day/Year 00/00/0000 -0/0/0000.   Leave blank until the date is needed. </t>
  </si>
  <si>
    <t>Lines 13&gt;: Column C</t>
  </si>
  <si>
    <t>Lines 13&gt;: Column D</t>
  </si>
  <si>
    <t>Lines 13&gt;: Column E</t>
  </si>
  <si>
    <t>Meeting(s) with Businesses (LIST):  List the Businesses</t>
  </si>
  <si>
    <t>Lines 13&gt;: Column C/D</t>
  </si>
  <si>
    <t>Lines 13&gt;: Column FG</t>
  </si>
  <si>
    <t xml:space="preserve">Prior/New Contact:  Select an option from the drop-down box </t>
  </si>
  <si>
    <t xml:space="preserve">Outcome:  Provide a brief narrative regarding the outcome of the meeting </t>
  </si>
  <si>
    <t xml:space="preserve">Led to Job Placement:  Select an option from the drop-down box </t>
  </si>
  <si>
    <t xml:space="preserve">BUSINESS CONTACTS:  </t>
  </si>
  <si>
    <t xml:space="preserve">PRESENTATIONS:  </t>
  </si>
  <si>
    <t xml:space="preserve">Presentation(s) to Local/ Civil Community Groups (List):  List the Entity(ies) to which presentation(s) were made. </t>
  </si>
  <si>
    <t>Lines 13&gt;: Column E/F</t>
  </si>
  <si>
    <t xml:space="preserve">Business Contact(s):  List  </t>
  </si>
  <si>
    <t>Lines 13&gt;: Column G/H</t>
  </si>
  <si>
    <t xml:space="preserve">Follow-up with Business Contact(s):  List Follow-ups that occurred with the Business Contact(s) </t>
  </si>
  <si>
    <t xml:space="preserve">CLIENT ENROLLMENT DISCHARGE </t>
  </si>
  <si>
    <t xml:space="preserve">Narrative: Section for Grantee to provide pertinent information about the program </t>
  </si>
  <si>
    <t>Line 1</t>
  </si>
  <si>
    <t xml:space="preserve">Lines 13&gt;: Column B </t>
  </si>
  <si>
    <t>Lines 13&gt;: Column F</t>
  </si>
  <si>
    <t>Lines 13&gt;: Column G</t>
  </si>
  <si>
    <t>Lines 13&gt;: Column H</t>
  </si>
  <si>
    <t>Client Internal I.D.: Internal Permanent I.D. unique to your agency.  If a client is discharge and readmitted use the same Client Internal I.D.  (This information will populate to the monthly tabs)</t>
  </si>
  <si>
    <t xml:space="preserve"> Date enrolled in Customized Employment program:  -Enter all active clients in the program (Enrollment date may go back as far as  07/01/2000).</t>
  </si>
  <si>
    <t xml:space="preserve">Disability Group:  Select an option from the drop-down box. </t>
  </si>
  <si>
    <t>Age at Admission:   Enter age - use number do not spell out</t>
  </si>
  <si>
    <t xml:space="preserve">Gender:  Choose an option from the drop-down box. </t>
  </si>
  <si>
    <t xml:space="preserve">Race:  Choose an option from the drop-down box. </t>
  </si>
  <si>
    <t xml:space="preserve">Hispanic Origin:  Choose an option from the drop-down box. </t>
  </si>
  <si>
    <t>Lines 13&gt;: Column I</t>
  </si>
  <si>
    <t>Lines 13&gt;: Column J</t>
  </si>
  <si>
    <t>Lines 13&gt;: Column K</t>
  </si>
  <si>
    <t>Lines 13&gt;: Column L</t>
  </si>
  <si>
    <t>Client Discharged: Choose and option from the drop-down box; THIS IS EXTREMELY IMPORTANT - WILL NOT CALUCLATE DATA CORRECTLY IF LEFT OUT  - WHEN YES IS CHOSEN THE LINE WILL BE COLORIZED INDICATING THE CASE IS CLOSED  This will populate to the monthly TABS</t>
  </si>
  <si>
    <t xml:space="preserve">Discharge Date:  Place date client was discharged - REMEMBER TO CHANGE COLUMN K to YES </t>
  </si>
  <si>
    <t>Lines 13&gt;: Column M</t>
  </si>
  <si>
    <t>Lines 13&gt;: Column N</t>
  </si>
  <si>
    <t>Note Section for Column J</t>
  </si>
  <si>
    <t>Funding Sources:  Choose an option from the drop-down box.  If "other' is selected specify in Column K</t>
  </si>
  <si>
    <t>MONTHLY DATA:  (JULY, AUG, SEPT, OCT, NOV, DEC, JAN, FEB, MAR, APR, MAY, JUNE)</t>
  </si>
  <si>
    <t xml:space="preserve">Client Internal I.D.: Will auto populate from CLIENT ENROLLMENT DISCHARGE tab </t>
  </si>
  <si>
    <t xml:space="preserve">Lines 13&gt;: Column K </t>
  </si>
  <si>
    <t>Lines 13&gt;: Column O</t>
  </si>
  <si>
    <t>Lines 13&gt;: Column P</t>
  </si>
  <si>
    <t>Lines 13&gt;: Column Q</t>
  </si>
  <si>
    <t>Lines 13&gt;: Column R</t>
  </si>
  <si>
    <t xml:space="preserve">Lines 13&gt;: Column S </t>
  </si>
  <si>
    <t>Lines 13&gt;: Column T</t>
  </si>
  <si>
    <t>Lines 13&gt;: Column U</t>
  </si>
  <si>
    <t>Lines 13&gt;: Column W</t>
  </si>
  <si>
    <t>ACTIVELY ENROLLED IN THE CUSTOMIZED EMPLOYMENT PROGRAM  DURING MONTH: Choose an option from the drop-down box.</t>
  </si>
  <si>
    <t>Not Employed: Receiving CE Services Pre-Vocation:  Choose an option from the drop-down box.</t>
  </si>
  <si>
    <t xml:space="preserve">Not Employed Community Based Assessment (CBA):  Choose an option from the drop-down box. </t>
  </si>
  <si>
    <t>Actively Employed: Choose an option from the drop-down box</t>
  </si>
  <si>
    <t xml:space="preserve">JOB - Reason for any Reduction in Hours:  Choose an option from the drop-down box  </t>
  </si>
  <si>
    <t xml:space="preserve">Note Section for Column H. </t>
  </si>
  <si>
    <t xml:space="preserve">Funding Sources (Other than CE Grant):  Choose an option from the drop-down box.  If other is selected specify in Column I. </t>
  </si>
  <si>
    <t xml:space="preserve">Job Start Date:   Date started job.  Use MM/DD/YYYYY format.  Leave blank until date is needed. </t>
  </si>
  <si>
    <t xml:space="preserve">Rate of Pay / Wage:  Enter Wage.  Use numbers, do NOT use alphabet. </t>
  </si>
  <si>
    <t xml:space="preserve">Wage Increase: - Reference to Wage Increase; Choose an option from the drop-down box.  </t>
  </si>
  <si>
    <t xml:space="preserve">Hours Per Month Available:  Use numbers - do NOT use alphabet. </t>
  </si>
  <si>
    <t xml:space="preserve">Hours Per Month Worked:  Use numbers - do NOT use alphabet. </t>
  </si>
  <si>
    <t xml:space="preserve">Type of Job - Job Title:  Provide Job Title. </t>
  </si>
  <si>
    <t>Name of Employer: Provide Name of Employer</t>
  </si>
  <si>
    <t xml:space="preserve">JOB Support Level:  Choose an option from the drop-down box.  </t>
  </si>
  <si>
    <t xml:space="preserve">Current Service Status with Client : - Choose an option from the drop-down box. </t>
  </si>
  <si>
    <t xml:space="preserve">NOTES:   Section for Grantee to enter pertinent information regarding monthly data. </t>
  </si>
  <si>
    <t xml:space="preserve">CLIENT DISCHARGED:  Will auto populate </t>
  </si>
  <si>
    <t xml:space="preserve"> Internal Space for Grantee: some Grantees use this space as a way to easily identify a client without revealing health protected information . If using identifiable information, redact before submitting report (This information will populate to other tabs</t>
  </si>
  <si>
    <t xml:space="preserve">Notes:  Section for Grantee to provide pertinent information about Client Enrollment and Discharge </t>
  </si>
  <si>
    <t xml:space="preserve"> Internal Space for Grantee: Will auto populate from CLIENT ENROLLMENT DISCHARGE tab </t>
  </si>
  <si>
    <r>
      <t xml:space="preserve">This form is designed to be used for the </t>
    </r>
    <r>
      <rPr>
        <b/>
        <u val="double"/>
        <sz val="20"/>
        <color theme="0"/>
        <rFont val="Calibri"/>
        <family val="2"/>
        <scheme val="minor"/>
      </rPr>
      <t>entire</t>
    </r>
    <r>
      <rPr>
        <b/>
        <sz val="20"/>
        <color theme="0"/>
        <rFont val="Calibri"/>
        <family val="2"/>
        <scheme val="minor"/>
      </rPr>
      <t xml:space="preserve"> fiscal year.                                                                                                                                                                                                                                                                                                                                                                                                                                                                                                                                                                                                                                                   </t>
    </r>
  </si>
  <si>
    <t>Please note:  "Month Being Reported" is from 1st -30th (or 31st) of each month.  The report for the "Month Being Reported" is due by the 25th of the following month. Examples:</t>
  </si>
  <si>
    <t>Jan. 1- 31</t>
  </si>
  <si>
    <t>due Feb. 25</t>
  </si>
  <si>
    <t>due May 25</t>
  </si>
  <si>
    <t>due August 25</t>
  </si>
  <si>
    <t>Oct. 1 - 31</t>
  </si>
  <si>
    <t>due Nov. 25</t>
  </si>
  <si>
    <t>Feb. 1-28 or 29</t>
  </si>
  <si>
    <t>due March 25</t>
  </si>
  <si>
    <t>due June 25</t>
  </si>
  <si>
    <t>due Sept. 25</t>
  </si>
  <si>
    <t>Nov. 1 - 30</t>
  </si>
  <si>
    <t>due Dec. 25</t>
  </si>
  <si>
    <t>March 1 - 31</t>
  </si>
  <si>
    <t>due April 25</t>
  </si>
  <si>
    <t>June 1-30</t>
  </si>
  <si>
    <t>due July 25</t>
  </si>
  <si>
    <t>due Oct. 25</t>
  </si>
  <si>
    <t>Dec. 1 - 31</t>
  </si>
  <si>
    <t>due Jan. 25</t>
  </si>
  <si>
    <t xml:space="preserve">Lines 1-9 above </t>
  </si>
  <si>
    <r>
      <t xml:space="preserve">Program Information will appear at the top of each tab.  Information will need  to be completed on the CLIENT ENROLLMENT DISCHARGE tab. Any changes will need to also be made on the CLIENT ENROLLMENT DISCHARGEtab. The information entered on this tab, with the exception of the date on the monthly tabs will auto populate. </t>
    </r>
    <r>
      <rPr>
        <b/>
        <i/>
        <sz val="11"/>
        <color rgb="FFFF0000"/>
        <rFont val="Calibri"/>
        <family val="2"/>
        <scheme val="minor"/>
      </rPr>
      <t xml:space="preserve">Please note that for the monthly tabs that the date will need to be selected from the drop-down box. </t>
    </r>
  </si>
  <si>
    <t xml:space="preserve">Grantee - Program Information: ON LINES 5 - 10:  All information with exception of the date will Populate from CLIENT ENROLLMENT DISCHARGE TAB - Any Changes, except for the date will need to be made on the CLIENT ENROLLMENT DISCHARGE tab. The date will need to be selected from the drop-down box. </t>
  </si>
  <si>
    <t xml:space="preserve">SUMMARY  TAB:  </t>
  </si>
  <si>
    <t xml:space="preserve">will summarized information from all the tabs. </t>
  </si>
  <si>
    <t>Rock City Cake Company</t>
  </si>
  <si>
    <t>YMCA</t>
  </si>
  <si>
    <t>Third Base Worker</t>
  </si>
  <si>
    <t>KCSCEP</t>
  </si>
  <si>
    <t>Greeter</t>
  </si>
  <si>
    <t>Bagger</t>
  </si>
  <si>
    <t>Kroger's</t>
  </si>
  <si>
    <t>Custodian</t>
  </si>
  <si>
    <t>Blessed Sacrament</t>
  </si>
  <si>
    <t>Office Worker</t>
  </si>
  <si>
    <t>Community Access</t>
  </si>
  <si>
    <t>Restaurant Worker</t>
  </si>
  <si>
    <t>Dishwasher</t>
  </si>
  <si>
    <t>HCSG</t>
  </si>
  <si>
    <t>Kroger</t>
  </si>
  <si>
    <t>State Fiscal Year  2024  (July 1, 2023 - June 30, 2024)</t>
  </si>
  <si>
    <t>WV Bureau for Behavioral Health and Health Facilities  - Customized Employment v20230622</t>
  </si>
  <si>
    <t>Wages for Month</t>
  </si>
  <si>
    <t xml:space="preserve">Wages for Year to Date </t>
  </si>
  <si>
    <t>AVERAGE PER MONTH</t>
  </si>
  <si>
    <r>
      <rPr>
        <b/>
        <sz val="12"/>
        <color theme="0"/>
        <rFont val="Calibri"/>
        <family val="2"/>
        <scheme val="minor"/>
      </rPr>
      <t>NOT EMPLOYED -</t>
    </r>
    <r>
      <rPr>
        <b/>
        <sz val="10"/>
        <color theme="0"/>
        <rFont val="Calibri"/>
        <family val="2"/>
        <scheme val="minor"/>
      </rPr>
      <t xml:space="preserve"> Types of Customized Employment Receiving </t>
    </r>
    <r>
      <rPr>
        <b/>
        <i/>
        <sz val="10"/>
        <color theme="0"/>
        <rFont val="Calibri"/>
        <family val="2"/>
        <scheme val="minor"/>
      </rPr>
      <t xml:space="preserve">(Pre Voc and CBS - may contain duplicate numbers of clients not actively employed) </t>
    </r>
  </si>
  <si>
    <t xml:space="preserve">SECTION 3 - INFORMATION COLLECTED MONTHLY  (Active Clients)    (MONTHLY TABS will need to be renewed on an annual basis to collect monthly data) </t>
  </si>
  <si>
    <t>FOR SUMMARY TAB TO WORK CORRECTLY FORM NEEDS TO BE RENEWED AT THE BEGINNING OF EACH FISCAL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</si>
</sst>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quot;$&quot;#,##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8"/>
      <color rgb="FF0070C0"/>
      <name val="Calibri"/>
      <family val="2"/>
      <scheme val="minor"/>
    </font>
    <font>
      <sz val="8"/>
      <color theme="1"/>
      <name val="Calibri"/>
      <family val="2"/>
      <scheme val="minor"/>
    </font>
    <font>
      <b/>
      <sz val="8"/>
      <color rgb="FF0070C0"/>
      <name val="Calibri"/>
      <family val="2"/>
      <scheme val="minor"/>
    </font>
    <font>
      <sz val="9"/>
      <color theme="1"/>
      <name val="Calibri"/>
      <family val="2"/>
      <scheme val="minor"/>
    </font>
    <font>
      <b/>
      <u/>
      <sz val="9"/>
      <color rgb="FF0070C0"/>
      <name val="Calibri"/>
      <family val="2"/>
      <scheme val="minor"/>
    </font>
    <font>
      <sz val="9"/>
      <name val="Calibri"/>
      <family val="2"/>
      <scheme val="minor"/>
    </font>
    <font>
      <sz val="9"/>
      <color rgb="FF0070C0"/>
      <name val="Calibri"/>
      <family val="2"/>
      <scheme val="minor"/>
    </font>
    <font>
      <b/>
      <u/>
      <sz val="8"/>
      <color rgb="FF0070C0"/>
      <name val="Calibri"/>
      <family val="2"/>
      <scheme val="minor"/>
    </font>
    <font>
      <b/>
      <sz val="12"/>
      <color theme="1"/>
      <name val="Calibri"/>
      <family val="2"/>
      <scheme val="minor"/>
    </font>
    <font>
      <sz val="7.5"/>
      <color rgb="FF0070C0"/>
      <name val="Calibri"/>
      <family val="2"/>
      <scheme val="minor"/>
    </font>
    <font>
      <sz val="11"/>
      <color theme="9" tint="-0.249977111117893"/>
      <name val="Calibri"/>
      <family val="2"/>
      <scheme val="minor"/>
    </font>
    <font>
      <sz val="11"/>
      <color theme="8" tint="0.79998168889431442"/>
      <name val="Calibri"/>
      <family val="2"/>
      <scheme val="minor"/>
    </font>
    <font>
      <b/>
      <sz val="11"/>
      <name val="Calibri"/>
      <family val="2"/>
      <scheme val="minor"/>
    </font>
    <font>
      <sz val="12"/>
      <color theme="1"/>
      <name val="Calibri"/>
      <family val="2"/>
      <scheme val="minor"/>
    </font>
    <font>
      <b/>
      <sz val="8"/>
      <color rgb="FFFF0000"/>
      <name val="Calibri"/>
      <family val="2"/>
      <scheme val="minor"/>
    </font>
    <font>
      <b/>
      <sz val="11"/>
      <color rgb="FFFF0000"/>
      <name val="Calibri"/>
      <family val="2"/>
      <scheme val="minor"/>
    </font>
    <font>
      <b/>
      <sz val="10"/>
      <color rgb="FFFF0000"/>
      <name val="Calibri"/>
      <family val="2"/>
      <scheme val="minor"/>
    </font>
    <font>
      <b/>
      <sz val="8"/>
      <color theme="1"/>
      <name val="Calibri"/>
      <family val="2"/>
      <scheme val="minor"/>
    </font>
    <font>
      <b/>
      <sz val="9"/>
      <color theme="1"/>
      <name val="Calibri"/>
      <family val="2"/>
      <scheme val="minor"/>
    </font>
    <font>
      <b/>
      <sz val="10"/>
      <color theme="1"/>
      <name val="Calibri"/>
      <family val="2"/>
      <scheme val="minor"/>
    </font>
    <font>
      <b/>
      <sz val="9"/>
      <color rgb="FF0070C0"/>
      <name val="Calibri"/>
      <family val="2"/>
      <scheme val="minor"/>
    </font>
    <font>
      <b/>
      <sz val="8"/>
      <name val="Calibri"/>
      <family val="2"/>
      <scheme val="minor"/>
    </font>
    <font>
      <b/>
      <sz val="7.5"/>
      <color rgb="FF0070C0"/>
      <name val="Calibri"/>
      <family val="2"/>
      <scheme val="minor"/>
    </font>
    <font>
      <sz val="8"/>
      <color theme="0"/>
      <name val="Calibri"/>
      <family val="2"/>
      <scheme val="minor"/>
    </font>
    <font>
      <u/>
      <sz val="8"/>
      <color theme="1"/>
      <name val="Calibri"/>
      <family val="2"/>
      <scheme val="minor"/>
    </font>
    <font>
      <sz val="9"/>
      <color theme="7" tint="-0.499984740745262"/>
      <name val="Calibri"/>
      <family val="2"/>
      <scheme val="minor"/>
    </font>
    <font>
      <b/>
      <sz val="8"/>
      <color theme="7" tint="-0.499984740745262"/>
      <name val="Calibri"/>
      <family val="2"/>
      <scheme val="minor"/>
    </font>
    <font>
      <sz val="7.5"/>
      <color theme="7" tint="-0.499984740745262"/>
      <name val="Calibri"/>
      <family val="2"/>
      <scheme val="minor"/>
    </font>
    <font>
      <b/>
      <sz val="7.5"/>
      <color theme="7" tint="-0.499984740745262"/>
      <name val="Calibri"/>
      <family val="2"/>
      <scheme val="minor"/>
    </font>
    <font>
      <sz val="8"/>
      <color theme="7" tint="-0.499984740745262"/>
      <name val="Calibri"/>
      <family val="2"/>
      <scheme val="minor"/>
    </font>
    <font>
      <b/>
      <sz val="9"/>
      <color theme="7" tint="-0.499984740745262"/>
      <name val="Calibri"/>
      <family val="2"/>
      <scheme val="minor"/>
    </font>
    <font>
      <sz val="11"/>
      <color theme="7" tint="-0.499984740745262"/>
      <name val="Calibri"/>
      <family val="2"/>
      <scheme val="minor"/>
    </font>
    <font>
      <b/>
      <sz val="11"/>
      <color theme="7" tint="-0.499984740745262"/>
      <name val="Calibri"/>
      <family val="2"/>
      <scheme val="minor"/>
    </font>
    <font>
      <b/>
      <sz val="10"/>
      <color theme="7" tint="-0.499984740745262"/>
      <name val="Calibri"/>
      <family val="2"/>
      <scheme val="minor"/>
    </font>
    <font>
      <b/>
      <sz val="10"/>
      <name val="Calibri"/>
      <family val="2"/>
      <scheme val="minor"/>
    </font>
    <font>
      <sz val="11"/>
      <name val="Calibri"/>
      <family val="2"/>
      <scheme val="minor"/>
    </font>
    <font>
      <sz val="8"/>
      <name val="Calibri"/>
      <family val="2"/>
      <scheme val="minor"/>
    </font>
    <font>
      <sz val="10"/>
      <color theme="1"/>
      <name val="Calibri"/>
      <family val="2"/>
      <scheme val="minor"/>
    </font>
    <font>
      <sz val="14"/>
      <color theme="1"/>
      <name val="Calibri"/>
      <family val="2"/>
      <scheme val="minor"/>
    </font>
    <font>
      <sz val="12"/>
      <color rgb="FFFF0000"/>
      <name val="Calibri"/>
      <family val="2"/>
      <scheme val="minor"/>
    </font>
    <font>
      <sz val="9"/>
      <color rgb="FFFF0000"/>
      <name val="Calibri"/>
      <family val="2"/>
      <scheme val="minor"/>
    </font>
    <font>
      <b/>
      <sz val="12"/>
      <name val="Calibri"/>
      <family val="2"/>
      <scheme val="minor"/>
    </font>
    <font>
      <b/>
      <sz val="9"/>
      <color theme="0"/>
      <name val="Calibri"/>
      <family val="2"/>
      <scheme val="minor"/>
    </font>
    <font>
      <sz val="11"/>
      <color theme="7" tint="0.39997558519241921"/>
      <name val="Calibri"/>
      <family val="2"/>
      <scheme val="minor"/>
    </font>
    <font>
      <sz val="12"/>
      <color theme="7" tint="-0.499984740745262"/>
      <name val="Calibri"/>
      <family val="2"/>
      <scheme val="minor"/>
    </font>
    <font>
      <b/>
      <sz val="11"/>
      <color theme="0"/>
      <name val="Calibri"/>
      <family val="2"/>
      <scheme val="minor"/>
    </font>
    <font>
      <b/>
      <sz val="9"/>
      <color rgb="FFFF0000"/>
      <name val="Calibri"/>
      <family val="2"/>
      <scheme val="minor"/>
    </font>
    <font>
      <b/>
      <sz val="10"/>
      <color rgb="FF0070C0"/>
      <name val="Calibri"/>
      <family val="2"/>
      <scheme val="minor"/>
    </font>
    <font>
      <b/>
      <sz val="11"/>
      <color rgb="FF0070C0"/>
      <name val="Calibri"/>
      <family val="2"/>
      <scheme val="minor"/>
    </font>
    <font>
      <b/>
      <i/>
      <sz val="11"/>
      <color theme="1"/>
      <name val="Calibri"/>
      <family val="2"/>
      <scheme val="minor"/>
    </font>
    <font>
      <b/>
      <i/>
      <sz val="12"/>
      <color theme="1"/>
      <name val="Calibri"/>
      <family val="2"/>
      <scheme val="minor"/>
    </font>
    <font>
      <b/>
      <i/>
      <sz val="11"/>
      <color rgb="FF0070C0"/>
      <name val="Calibri"/>
      <family val="2"/>
      <scheme val="minor"/>
    </font>
    <font>
      <b/>
      <i/>
      <sz val="10"/>
      <color rgb="FFFF0000"/>
      <name val="Calibri"/>
      <family val="2"/>
      <scheme val="minor"/>
    </font>
    <font>
      <b/>
      <sz val="7.5"/>
      <color theme="1"/>
      <name val="Calibri"/>
      <family val="2"/>
      <scheme val="minor"/>
    </font>
    <font>
      <b/>
      <i/>
      <sz val="12"/>
      <color rgb="FF0070C0"/>
      <name val="Calibri"/>
      <family val="2"/>
      <scheme val="minor"/>
    </font>
    <font>
      <b/>
      <i/>
      <sz val="11"/>
      <name val="Calibri"/>
      <family val="2"/>
      <scheme val="minor"/>
    </font>
    <font>
      <b/>
      <sz val="10"/>
      <color theme="3" tint="-0.499984740745262"/>
      <name val="Calibri"/>
      <family val="2"/>
      <scheme val="minor"/>
    </font>
    <font>
      <b/>
      <sz val="9"/>
      <color theme="3" tint="-0.499984740745262"/>
      <name val="Calibri"/>
      <family val="2"/>
      <scheme val="minor"/>
    </font>
    <font>
      <b/>
      <i/>
      <sz val="14"/>
      <color rgb="FF002060"/>
      <name val="Calibri"/>
      <family val="2"/>
      <scheme val="minor"/>
    </font>
    <font>
      <b/>
      <sz val="13"/>
      <color theme="1"/>
      <name val="Calibri"/>
      <family val="2"/>
      <scheme val="minor"/>
    </font>
    <font>
      <b/>
      <i/>
      <sz val="13"/>
      <color theme="1"/>
      <name val="Calibri"/>
      <family val="2"/>
      <scheme val="minor"/>
    </font>
    <font>
      <sz val="13"/>
      <color theme="1"/>
      <name val="Calibri"/>
      <family val="2"/>
      <scheme val="minor"/>
    </font>
    <font>
      <b/>
      <sz val="10"/>
      <color rgb="FF004070"/>
      <name val="Calibri"/>
      <family val="2"/>
      <scheme val="minor"/>
    </font>
    <font>
      <b/>
      <i/>
      <sz val="11"/>
      <color rgb="FF004070"/>
      <name val="Calibri"/>
      <family val="2"/>
      <scheme val="minor"/>
    </font>
    <font>
      <b/>
      <i/>
      <sz val="13"/>
      <color rgb="FF002060"/>
      <name val="Calibri"/>
      <family val="2"/>
      <scheme val="minor"/>
    </font>
    <font>
      <b/>
      <i/>
      <sz val="13"/>
      <name val="Calibri"/>
      <family val="2"/>
      <scheme val="minor"/>
    </font>
    <font>
      <b/>
      <sz val="14"/>
      <color theme="0"/>
      <name val="Calibri"/>
      <family val="2"/>
      <scheme val="minor"/>
    </font>
    <font>
      <sz val="14"/>
      <color theme="0"/>
      <name val="Calibri"/>
      <family val="2"/>
      <scheme val="minor"/>
    </font>
    <font>
      <sz val="14"/>
      <name val="Calibri"/>
      <family val="2"/>
      <scheme val="minor"/>
    </font>
    <font>
      <b/>
      <sz val="20"/>
      <color theme="0"/>
      <name val="Calibri"/>
      <family val="2"/>
      <scheme val="minor"/>
    </font>
    <font>
      <b/>
      <u val="double"/>
      <sz val="20"/>
      <color theme="0"/>
      <name val="Calibri"/>
      <family val="2"/>
      <scheme val="minor"/>
    </font>
    <font>
      <b/>
      <sz val="18"/>
      <color theme="0"/>
      <name val="Calibri"/>
      <family val="2"/>
    </font>
    <font>
      <b/>
      <sz val="16"/>
      <color theme="0"/>
      <name val="Calibri"/>
      <family val="2"/>
    </font>
    <font>
      <b/>
      <i/>
      <sz val="11"/>
      <color rgb="FFFF0000"/>
      <name val="Calibri"/>
      <family val="2"/>
      <scheme val="minor"/>
    </font>
    <font>
      <b/>
      <sz val="12"/>
      <color rgb="FF7030A0"/>
      <name val="Calibri"/>
      <family val="2"/>
      <scheme val="minor"/>
    </font>
    <font>
      <b/>
      <sz val="10"/>
      <color rgb="FF7030A0"/>
      <name val="Calibri"/>
      <family val="2"/>
      <scheme val="minor"/>
    </font>
    <font>
      <b/>
      <sz val="11"/>
      <color rgb="FF7030A0"/>
      <name val="Calibri"/>
      <family val="2"/>
      <scheme val="minor"/>
    </font>
    <font>
      <b/>
      <sz val="10"/>
      <color theme="0"/>
      <name val="Calibri"/>
      <family val="2"/>
      <scheme val="minor"/>
    </font>
    <font>
      <b/>
      <i/>
      <sz val="10"/>
      <color theme="0"/>
      <name val="Calibri"/>
      <family val="2"/>
      <scheme val="minor"/>
    </font>
    <font>
      <b/>
      <sz val="12"/>
      <color theme="0"/>
      <name val="Calibri"/>
      <family val="2"/>
      <scheme val="minor"/>
    </font>
    <font>
      <b/>
      <i/>
      <sz val="12"/>
      <color theme="0"/>
      <name val="Calibri"/>
      <family val="2"/>
      <scheme val="minor"/>
    </font>
    <font>
      <b/>
      <sz val="14"/>
      <color theme="1"/>
      <name val="Calibri"/>
      <family val="2"/>
      <scheme val="minor"/>
    </font>
    <font>
      <b/>
      <sz val="13"/>
      <color rgb="FF002060"/>
      <name val="Calibri"/>
      <family val="2"/>
      <scheme val="minor"/>
    </font>
    <font>
      <b/>
      <sz val="18"/>
      <color rgb="FFFF0000"/>
      <name val="Calibri"/>
      <family val="2"/>
      <scheme val="minor"/>
    </font>
    <font>
      <sz val="16"/>
      <color theme="0"/>
      <name val="Calibri"/>
      <family val="2"/>
      <scheme val="minor"/>
    </font>
  </fonts>
  <fills count="46">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3" tint="-0.499984740745262"/>
        <bgColor indexed="64"/>
      </patternFill>
    </fill>
    <fill>
      <patternFill patternType="solid">
        <fgColor rgb="FFFFFF75"/>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BE4542"/>
        <bgColor indexed="64"/>
      </patternFill>
    </fill>
    <fill>
      <patternFill patternType="solid">
        <fgColor rgb="FFEAC6C4"/>
        <bgColor indexed="64"/>
      </patternFill>
    </fill>
    <fill>
      <patternFill patternType="solid">
        <fgColor rgb="FFCDACE6"/>
        <bgColor indexed="64"/>
      </patternFill>
    </fill>
    <fill>
      <patternFill patternType="solid">
        <fgColor rgb="FFE6D5F3"/>
        <bgColor indexed="64"/>
      </patternFill>
    </fill>
    <fill>
      <patternFill patternType="solid">
        <fgColor rgb="FFEEE1F7"/>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499984740745262"/>
        <bgColor indexed="64"/>
      </patternFill>
    </fill>
    <fill>
      <patternFill patternType="solid">
        <fgColor rgb="FFFFFF66"/>
        <bgColor indexed="64"/>
      </patternFill>
    </fill>
    <fill>
      <patternFill patternType="solid">
        <fgColor rgb="FFFFFF99"/>
        <bgColor indexed="64"/>
      </patternFill>
    </fill>
    <fill>
      <patternFill patternType="solid">
        <fgColor rgb="FFFFFF79"/>
        <bgColor indexed="64"/>
      </patternFill>
    </fill>
    <fill>
      <patternFill patternType="solid">
        <fgColor rgb="FFFFFF85"/>
        <bgColor indexed="64"/>
      </patternFill>
    </fill>
    <fill>
      <patternFill patternType="solid">
        <fgColor rgb="FF7030A0"/>
        <bgColor indexed="64"/>
      </patternFill>
    </fill>
    <fill>
      <patternFill patternType="solid">
        <fgColor theme="0" tint="-0.499984740745262"/>
        <bgColor indexed="64"/>
      </patternFill>
    </fill>
    <fill>
      <patternFill patternType="solid">
        <fgColor rgb="FFF4EAFA"/>
        <bgColor indexed="64"/>
      </patternFill>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diagonal/>
    </border>
    <border>
      <left style="dashed">
        <color auto="1"/>
      </left>
      <right style="thin">
        <color auto="1"/>
      </right>
      <top/>
      <bottom style="thin">
        <color auto="1"/>
      </bottom>
      <diagonal/>
    </border>
    <border>
      <left style="thin">
        <color auto="1"/>
      </left>
      <right style="dashed">
        <color auto="1"/>
      </right>
      <top style="thin">
        <color auto="1"/>
      </top>
      <bottom/>
      <diagonal/>
    </border>
    <border>
      <left style="thin">
        <color auto="1"/>
      </left>
      <right style="dashed">
        <color auto="1"/>
      </right>
      <top/>
      <bottom style="thin">
        <color auto="1"/>
      </bottom>
      <diagonal/>
    </border>
    <border>
      <left style="dashed">
        <color auto="1"/>
      </left>
      <right/>
      <top style="thin">
        <color auto="1"/>
      </top>
      <bottom style="thin">
        <color auto="1"/>
      </bottom>
      <diagonal/>
    </border>
    <border>
      <left style="thin">
        <color auto="1"/>
      </left>
      <right style="thin">
        <color auto="1"/>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mediumDashDot">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903">
    <xf numFmtId="0" fontId="0" fillId="0" borderId="0" xfId="0"/>
    <xf numFmtId="0" fontId="0" fillId="3" borderId="1"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6" fillId="3" borderId="1" xfId="0" applyFont="1" applyFill="1" applyBorder="1" applyAlignment="1">
      <alignment horizontal="left" vertical="center"/>
    </xf>
    <xf numFmtId="0" fontId="7"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0" fillId="4" borderId="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6" fillId="4" borderId="1" xfId="0" applyFont="1" applyFill="1" applyBorder="1" applyAlignment="1">
      <alignment horizontal="left" vertical="center"/>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5" borderId="1" xfId="0" applyFont="1" applyFill="1" applyBorder="1"/>
    <xf numFmtId="0" fontId="0" fillId="6" borderId="8" xfId="0" applyFill="1" applyBorder="1"/>
    <xf numFmtId="0" fontId="0" fillId="6" borderId="9" xfId="0" applyFill="1" applyBorder="1"/>
    <xf numFmtId="0" fontId="0" fillId="6" borderId="0" xfId="0" applyFill="1"/>
    <xf numFmtId="0" fontId="0" fillId="6" borderId="14" xfId="0" applyFill="1" applyBorder="1"/>
    <xf numFmtId="0" fontId="17" fillId="6" borderId="0" xfId="0" applyFont="1" applyFill="1" applyAlignment="1">
      <alignment horizontal="left" vertical="center"/>
    </xf>
    <xf numFmtId="0" fontId="17" fillId="6" borderId="14" xfId="0" applyFont="1" applyFill="1" applyBorder="1" applyAlignment="1">
      <alignment horizontal="left" vertical="center"/>
    </xf>
    <xf numFmtId="0" fontId="17" fillId="6" borderId="0" xfId="0" applyFont="1" applyFill="1" applyAlignment="1">
      <alignment horizontal="left"/>
    </xf>
    <xf numFmtId="0" fontId="17" fillId="6" borderId="14" xfId="0" applyFont="1" applyFill="1" applyBorder="1" applyAlignment="1">
      <alignment horizontal="left"/>
    </xf>
    <xf numFmtId="0" fontId="22" fillId="6" borderId="0" xfId="0" applyFont="1" applyFill="1" applyAlignment="1">
      <alignment horizontal="center"/>
    </xf>
    <xf numFmtId="0" fontId="22" fillId="6" borderId="14" xfId="0" applyFont="1" applyFill="1" applyBorder="1" applyAlignment="1">
      <alignment horizontal="center"/>
    </xf>
    <xf numFmtId="0" fontId="23" fillId="6" borderId="0" xfId="0" applyFont="1" applyFill="1" applyAlignment="1">
      <alignment horizontal="center"/>
    </xf>
    <xf numFmtId="0" fontId="23" fillId="6" borderId="14" xfId="0" applyFont="1" applyFill="1" applyBorder="1" applyAlignment="1">
      <alignment horizontal="center"/>
    </xf>
    <xf numFmtId="0" fontId="12" fillId="6" borderId="16" xfId="0" applyFont="1" applyFill="1" applyBorder="1" applyAlignment="1">
      <alignment horizontal="center"/>
    </xf>
    <xf numFmtId="0" fontId="12" fillId="6" borderId="17" xfId="0" applyFont="1" applyFill="1" applyBorder="1" applyAlignment="1">
      <alignment horizontal="center"/>
    </xf>
    <xf numFmtId="0" fontId="24" fillId="2" borderId="1" xfId="0" applyFont="1" applyFill="1" applyBorder="1" applyAlignment="1">
      <alignment horizontal="center" vertical="center" textRotation="90" wrapText="1"/>
    </xf>
    <xf numFmtId="0" fontId="5"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5" fillId="3" borderId="1" xfId="0" applyFont="1" applyFill="1" applyBorder="1" applyAlignment="1">
      <alignment vertical="center" wrapText="1"/>
    </xf>
    <xf numFmtId="0" fontId="2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5" fillId="0" borderId="0" xfId="0" applyFont="1"/>
    <xf numFmtId="0" fontId="5" fillId="4" borderId="0" xfId="0" applyFont="1" applyFill="1"/>
    <xf numFmtId="0" fontId="27" fillId="8" borderId="0" xfId="0" applyFont="1" applyFill="1"/>
    <xf numFmtId="0" fontId="5" fillId="3" borderId="0" xfId="0" applyFont="1" applyFill="1"/>
    <xf numFmtId="0" fontId="5" fillId="3" borderId="16" xfId="0" applyFont="1" applyFill="1" applyBorder="1"/>
    <xf numFmtId="0" fontId="21" fillId="0" borderId="0" xfId="0" applyFont="1" applyAlignment="1">
      <alignment vertical="center"/>
    </xf>
    <xf numFmtId="0" fontId="5" fillId="0" borderId="0" xfId="0" applyFont="1" applyAlignment="1">
      <alignment vertical="center"/>
    </xf>
    <xf numFmtId="0" fontId="28" fillId="0" borderId="0" xfId="0" applyFont="1" applyAlignment="1">
      <alignment vertical="center"/>
    </xf>
    <xf numFmtId="0" fontId="5" fillId="0" borderId="0" xfId="0" applyFont="1" applyAlignment="1">
      <alignment horizontal="left" vertical="center" indent="2"/>
    </xf>
    <xf numFmtId="0" fontId="0" fillId="9" borderId="0" xfId="0" applyFill="1"/>
    <xf numFmtId="0" fontId="31" fillId="2" borderId="4" xfId="0" applyFont="1" applyFill="1" applyBorder="1" applyAlignment="1">
      <alignment vertical="center" wrapText="1"/>
    </xf>
    <xf numFmtId="0" fontId="33" fillId="3" borderId="4" xfId="0" applyFont="1" applyFill="1" applyBorder="1" applyAlignment="1">
      <alignment vertical="center" wrapText="1"/>
    </xf>
    <xf numFmtId="0" fontId="33" fillId="2" borderId="3" xfId="0" applyFont="1" applyFill="1" applyBorder="1" applyAlignment="1">
      <alignment vertical="center" wrapText="1"/>
    </xf>
    <xf numFmtId="0" fontId="33" fillId="3" borderId="3" xfId="0" applyFont="1" applyFill="1" applyBorder="1" applyAlignment="1">
      <alignment vertical="center" wrapText="1"/>
    </xf>
    <xf numFmtId="0" fontId="34" fillId="3" borderId="1" xfId="0" applyFont="1" applyFill="1" applyBorder="1" applyAlignment="1">
      <alignment horizontal="center" vertical="center" wrapText="1"/>
    </xf>
    <xf numFmtId="0" fontId="36" fillId="4" borderId="1"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6" fillId="2" borderId="1" xfId="0" applyFont="1" applyFill="1" applyBorder="1" applyAlignment="1" applyProtection="1">
      <alignment horizontal="center" vertical="center"/>
      <protection locked="0"/>
    </xf>
    <xf numFmtId="0" fontId="25" fillId="3" borderId="18" xfId="0" applyFont="1" applyFill="1" applyBorder="1" applyAlignment="1">
      <alignment vertical="center" wrapText="1"/>
    </xf>
    <xf numFmtId="0" fontId="37" fillId="3" borderId="11" xfId="0" applyFont="1" applyFill="1" applyBorder="1" applyAlignment="1">
      <alignment horizontal="center" vertical="center" wrapText="1"/>
    </xf>
    <xf numFmtId="0" fontId="37" fillId="2" borderId="1" xfId="0" applyFont="1" applyFill="1" applyBorder="1" applyAlignment="1">
      <alignment horizontal="center" vertical="center" textRotation="90" wrapText="1"/>
    </xf>
    <xf numFmtId="0" fontId="38" fillId="3" borderId="1" xfId="0" applyFont="1" applyFill="1" applyBorder="1" applyAlignment="1">
      <alignment horizontal="center" vertical="center" wrapText="1"/>
    </xf>
    <xf numFmtId="0" fontId="37" fillId="2" borderId="1" xfId="0" applyFont="1" applyFill="1" applyBorder="1" applyAlignment="1">
      <alignment vertical="center" wrapText="1"/>
    </xf>
    <xf numFmtId="0" fontId="37" fillId="3" borderId="1" xfId="0" applyFont="1" applyFill="1" applyBorder="1" applyAlignment="1" applyProtection="1">
      <alignment horizontal="center" vertical="center" wrapText="1"/>
      <protection locked="0"/>
    </xf>
    <xf numFmtId="0" fontId="37" fillId="2" borderId="1" xfId="0" applyFont="1" applyFill="1" applyBorder="1" applyAlignment="1" applyProtection="1">
      <alignment horizontal="center" vertical="center" wrapText="1"/>
      <protection locked="0"/>
    </xf>
    <xf numFmtId="0" fontId="34" fillId="3" borderId="1" xfId="0" applyFont="1" applyFill="1" applyBorder="1" applyAlignment="1">
      <alignment horizontal="center" vertical="center" textRotation="90" wrapText="1"/>
    </xf>
    <xf numFmtId="0" fontId="37" fillId="4" borderId="23" xfId="0" applyFont="1" applyFill="1" applyBorder="1" applyAlignment="1" applyProtection="1">
      <alignment horizontal="center" vertical="center" wrapText="1"/>
      <protection locked="0"/>
    </xf>
    <xf numFmtId="0" fontId="37" fillId="3" borderId="2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34" fillId="3"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0" fontId="36" fillId="2" borderId="1" xfId="0" applyFont="1" applyFill="1" applyBorder="1" applyAlignment="1">
      <alignment horizontal="center" vertical="center" wrapText="1"/>
    </xf>
    <xf numFmtId="164" fontId="0" fillId="4" borderId="1" xfId="0" applyNumberFormat="1"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protection locked="0"/>
    </xf>
    <xf numFmtId="0" fontId="9"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4" borderId="1" xfId="0" applyFont="1" applyFill="1" applyBorder="1" applyAlignment="1" applyProtection="1">
      <alignment horizontal="center" vertical="center" wrapText="1"/>
      <protection locked="0"/>
    </xf>
    <xf numFmtId="0" fontId="35" fillId="3"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37"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16" fillId="3" borderId="11" xfId="0" applyFont="1" applyFill="1" applyBorder="1" applyAlignment="1">
      <alignment horizontal="left" vertical="center"/>
    </xf>
    <xf numFmtId="0" fontId="16" fillId="3" borderId="10" xfId="0" applyFont="1" applyFill="1" applyBorder="1" applyAlignment="1">
      <alignment horizontal="left" vertical="center"/>
    </xf>
    <xf numFmtId="0" fontId="16" fillId="3" borderId="12" xfId="0" applyFont="1" applyFill="1" applyBorder="1" applyAlignment="1">
      <alignment horizontal="left" vertical="center"/>
    </xf>
    <xf numFmtId="0" fontId="39" fillId="11" borderId="1" xfId="0" applyFont="1" applyFill="1" applyBorder="1" applyAlignment="1">
      <alignment horizontal="center" vertical="center" wrapText="1"/>
    </xf>
    <xf numFmtId="0" fontId="37" fillId="11" borderId="1" xfId="0" applyFont="1" applyFill="1" applyBorder="1" applyAlignment="1">
      <alignment horizontal="center" vertical="center" wrapText="1"/>
    </xf>
    <xf numFmtId="0" fontId="36"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7" fillId="11" borderId="1" xfId="0" applyFont="1" applyFill="1" applyBorder="1" applyAlignment="1">
      <alignment horizontal="center" vertical="center"/>
    </xf>
    <xf numFmtId="0" fontId="19" fillId="11" borderId="1" xfId="0" applyFont="1" applyFill="1" applyBorder="1" applyAlignment="1">
      <alignment horizontal="center" vertical="center" textRotation="90" wrapText="1"/>
    </xf>
    <xf numFmtId="0" fontId="42" fillId="11" borderId="1" xfId="0" applyFont="1" applyFill="1" applyBorder="1" applyAlignment="1">
      <alignment horizontal="center" vertical="center" wrapText="1"/>
    </xf>
    <xf numFmtId="0" fontId="48" fillId="11" borderId="1" xfId="0" applyFont="1" applyFill="1" applyBorder="1" applyAlignment="1" applyProtection="1">
      <alignment horizontal="center" vertical="center" wrapText="1"/>
      <protection locked="0"/>
    </xf>
    <xf numFmtId="0" fontId="37" fillId="11" borderId="1" xfId="0" applyFont="1" applyFill="1" applyBorder="1" applyAlignment="1" applyProtection="1">
      <alignment vertical="center" wrapText="1"/>
      <protection locked="0"/>
    </xf>
    <xf numFmtId="0" fontId="43" fillId="11" borderId="1" xfId="0" applyFont="1" applyFill="1" applyBorder="1" applyAlignment="1" applyProtection="1">
      <alignment horizontal="center" vertical="center"/>
      <protection locked="0"/>
    </xf>
    <xf numFmtId="0" fontId="5" fillId="11" borderId="1" xfId="0" applyFont="1" applyFill="1" applyBorder="1" applyAlignment="1" applyProtection="1">
      <alignment vertical="center"/>
      <protection locked="0"/>
    </xf>
    <xf numFmtId="0" fontId="40" fillId="12"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36" fillId="12" borderId="1" xfId="0" applyFont="1" applyFill="1" applyBorder="1" applyAlignment="1">
      <alignment horizontal="center" vertical="center" wrapText="1"/>
    </xf>
    <xf numFmtId="0" fontId="36" fillId="12" borderId="11" xfId="0" applyFont="1" applyFill="1" applyBorder="1" applyAlignment="1">
      <alignment horizontal="center" vertical="center" wrapText="1"/>
    </xf>
    <xf numFmtId="0" fontId="16" fillId="12" borderId="18" xfId="0" applyFont="1" applyFill="1" applyBorder="1" applyAlignment="1">
      <alignment horizontal="center" vertical="center" wrapText="1"/>
    </xf>
    <xf numFmtId="0" fontId="1" fillId="12" borderId="1" xfId="0" applyFont="1" applyFill="1" applyBorder="1" applyAlignment="1">
      <alignment horizontal="center" vertical="center" wrapText="1"/>
    </xf>
    <xf numFmtId="14" fontId="9" fillId="12" borderId="1" xfId="0" applyNumberFormat="1" applyFont="1" applyFill="1" applyBorder="1" applyAlignment="1" applyProtection="1">
      <alignment horizontal="center" vertical="center"/>
      <protection locked="0"/>
    </xf>
    <xf numFmtId="0" fontId="7" fillId="12" borderId="1" xfId="0" applyFont="1" applyFill="1" applyBorder="1" applyAlignment="1">
      <alignment horizontal="center" vertical="center" wrapText="1"/>
    </xf>
    <xf numFmtId="0" fontId="37" fillId="12" borderId="1" xfId="0" applyFont="1" applyFill="1" applyBorder="1" applyAlignment="1" applyProtection="1">
      <alignment vertical="center" wrapText="1"/>
      <protection locked="0"/>
    </xf>
    <xf numFmtId="0" fontId="37" fillId="12" borderId="23" xfId="0" applyFont="1" applyFill="1" applyBorder="1" applyAlignment="1" applyProtection="1">
      <alignment horizontal="center" vertical="center" wrapText="1"/>
      <protection locked="0"/>
    </xf>
    <xf numFmtId="14" fontId="44" fillId="12" borderId="1" xfId="0" applyNumberFormat="1" applyFont="1" applyFill="1" applyBorder="1" applyAlignment="1" applyProtection="1">
      <alignment horizontal="center" vertical="center"/>
      <protection locked="0"/>
    </xf>
    <xf numFmtId="0" fontId="0" fillId="12" borderId="0" xfId="0" applyFill="1"/>
    <xf numFmtId="0" fontId="17" fillId="12" borderId="1" xfId="0" applyFont="1" applyFill="1" applyBorder="1" applyAlignment="1" applyProtection="1">
      <alignment horizontal="center" vertical="center" wrapText="1"/>
      <protection locked="0"/>
    </xf>
    <xf numFmtId="0" fontId="0" fillId="0" borderId="16" xfId="0" applyBorder="1"/>
    <xf numFmtId="0" fontId="48" fillId="0" borderId="16" xfId="0" applyFont="1" applyBorder="1" applyAlignment="1" applyProtection="1">
      <alignment horizontal="center" vertical="center" wrapText="1"/>
      <protection locked="0"/>
    </xf>
    <xf numFmtId="0" fontId="37" fillId="0" borderId="16" xfId="0" applyFont="1" applyBorder="1" applyAlignment="1" applyProtection="1">
      <alignment vertical="center" wrapText="1"/>
      <protection locked="0"/>
    </xf>
    <xf numFmtId="0" fontId="48" fillId="0" borderId="0" xfId="0" applyFont="1" applyAlignment="1" applyProtection="1">
      <alignment horizontal="center" vertical="center" wrapText="1"/>
      <protection locked="0"/>
    </xf>
    <xf numFmtId="0" fontId="37" fillId="0" borderId="0" xfId="0" applyFont="1" applyAlignment="1" applyProtection="1">
      <alignment vertical="center" wrapText="1"/>
      <protection locked="0"/>
    </xf>
    <xf numFmtId="0" fontId="24" fillId="12"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5" fillId="4" borderId="18"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14" fontId="9" fillId="13" borderId="1" xfId="0" applyNumberFormat="1" applyFont="1" applyFill="1" applyBorder="1" applyAlignment="1" applyProtection="1">
      <alignment horizontal="center" vertical="center"/>
      <protection locked="0"/>
    </xf>
    <xf numFmtId="0" fontId="17" fillId="13" borderId="1" xfId="0" applyFont="1" applyFill="1" applyBorder="1" applyAlignment="1" applyProtection="1">
      <alignment horizontal="center" vertical="center" wrapText="1"/>
      <protection locked="0"/>
    </xf>
    <xf numFmtId="0" fontId="37" fillId="13" borderId="1" xfId="0" applyFont="1" applyFill="1" applyBorder="1" applyAlignment="1" applyProtection="1">
      <alignment vertical="center" wrapText="1"/>
      <protection locked="0"/>
    </xf>
    <xf numFmtId="0" fontId="37" fillId="13" borderId="23" xfId="0" applyFont="1" applyFill="1" applyBorder="1" applyAlignment="1" applyProtection="1">
      <alignment horizontal="center" vertical="center" wrapText="1"/>
      <protection locked="0"/>
    </xf>
    <xf numFmtId="14" fontId="44" fillId="13" borderId="1" xfId="0" applyNumberFormat="1" applyFont="1" applyFill="1" applyBorder="1" applyAlignment="1" applyProtection="1">
      <alignment horizontal="center" vertical="center"/>
      <protection locked="0"/>
    </xf>
    <xf numFmtId="0" fontId="48" fillId="12" borderId="1" xfId="0" applyFont="1" applyFill="1" applyBorder="1" applyAlignment="1" applyProtection="1">
      <alignment horizontal="center" vertical="center" wrapText="1"/>
      <protection locked="0"/>
    </xf>
    <xf numFmtId="0" fontId="43" fillId="12" borderId="1" xfId="0" applyFont="1" applyFill="1" applyBorder="1" applyAlignment="1" applyProtection="1">
      <alignment horizontal="center" vertical="center"/>
      <protection locked="0"/>
    </xf>
    <xf numFmtId="0" fontId="5" fillId="12" borderId="1" xfId="0" applyFont="1" applyFill="1" applyBorder="1" applyAlignment="1" applyProtection="1">
      <alignment vertical="center"/>
      <protection locked="0"/>
    </xf>
    <xf numFmtId="0" fontId="7" fillId="12" borderId="1" xfId="0" applyFont="1" applyFill="1" applyBorder="1" applyAlignment="1">
      <alignment horizontal="center" vertical="center"/>
    </xf>
    <xf numFmtId="0" fontId="40" fillId="13" borderId="18" xfId="0" applyFont="1" applyFill="1" applyBorder="1" applyAlignment="1" applyProtection="1">
      <alignment vertical="center"/>
      <protection locked="0"/>
    </xf>
    <xf numFmtId="0" fontId="40" fillId="12" borderId="18" xfId="0" applyFont="1" applyFill="1" applyBorder="1" applyAlignment="1" applyProtection="1">
      <alignment vertical="center"/>
      <protection locked="0"/>
    </xf>
    <xf numFmtId="0" fontId="49" fillId="10" borderId="1" xfId="0" applyFont="1" applyFill="1" applyBorder="1" applyAlignment="1">
      <alignment horizontal="center" vertical="center" wrapText="1"/>
    </xf>
    <xf numFmtId="0" fontId="0" fillId="5" borderId="0" xfId="0" applyFill="1"/>
    <xf numFmtId="0" fontId="0" fillId="5" borderId="14" xfId="0" applyFill="1" applyBorder="1"/>
    <xf numFmtId="0" fontId="0" fillId="5" borderId="13" xfId="0" applyFill="1" applyBorder="1"/>
    <xf numFmtId="0" fontId="16"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2" fillId="14" borderId="1" xfId="0" applyFont="1" applyFill="1" applyBorder="1" applyAlignment="1">
      <alignment horizontal="center" vertical="center" wrapText="1"/>
    </xf>
    <xf numFmtId="0" fontId="36" fillId="14" borderId="1" xfId="0" applyFont="1" applyFill="1" applyBorder="1" applyAlignment="1">
      <alignment horizontal="center" vertical="center" wrapText="1"/>
    </xf>
    <xf numFmtId="0" fontId="0" fillId="14" borderId="1" xfId="0" applyFill="1" applyBorder="1"/>
    <xf numFmtId="0" fontId="35" fillId="14" borderId="1" xfId="0" applyFont="1" applyFill="1" applyBorder="1" applyAlignment="1" applyProtection="1">
      <alignment horizontal="center" vertical="center"/>
      <protection locked="0"/>
    </xf>
    <xf numFmtId="0" fontId="2" fillId="9" borderId="1" xfId="0" applyFont="1" applyFill="1" applyBorder="1" applyAlignment="1">
      <alignment horizontal="center" vertical="center" wrapText="1"/>
    </xf>
    <xf numFmtId="0" fontId="0" fillId="4" borderId="0" xfId="0" applyFill="1" applyAlignment="1">
      <alignment horizontal="center" vertical="center"/>
    </xf>
    <xf numFmtId="0" fontId="9" fillId="3" borderId="4" xfId="0" applyFont="1" applyFill="1" applyBorder="1" applyAlignment="1">
      <alignment horizontal="center" vertical="center" wrapText="1"/>
    </xf>
    <xf numFmtId="0" fontId="2" fillId="32" borderId="17" xfId="0" applyFont="1" applyFill="1" applyBorder="1" applyAlignment="1">
      <alignment horizontal="left" vertical="center"/>
    </xf>
    <xf numFmtId="0" fontId="2" fillId="32" borderId="16" xfId="0" applyFont="1" applyFill="1" applyBorder="1" applyAlignment="1">
      <alignment horizontal="left" vertical="center"/>
    </xf>
    <xf numFmtId="14" fontId="5" fillId="3" borderId="1" xfId="0" applyNumberFormat="1" applyFont="1" applyFill="1" applyBorder="1" applyAlignment="1" applyProtection="1">
      <alignment horizontal="center" vertical="center"/>
      <protection locked="0"/>
    </xf>
    <xf numFmtId="14" fontId="5" fillId="2" borderId="1" xfId="0" applyNumberFormat="1" applyFont="1" applyFill="1" applyBorder="1" applyAlignment="1" applyProtection="1">
      <alignment horizontal="center" vertical="center"/>
      <protection locked="0"/>
    </xf>
    <xf numFmtId="0" fontId="30" fillId="2" borderId="3" xfId="0" applyFont="1" applyFill="1" applyBorder="1" applyAlignment="1">
      <alignment vertical="center" wrapText="1"/>
    </xf>
    <xf numFmtId="0" fontId="30" fillId="3" borderId="3" xfId="0" applyFont="1" applyFill="1" applyBorder="1" applyAlignment="1">
      <alignment vertical="center" wrapText="1"/>
    </xf>
    <xf numFmtId="0" fontId="32" fillId="2" borderId="4" xfId="0" applyFont="1" applyFill="1" applyBorder="1" applyAlignment="1">
      <alignment vertical="center" wrapText="1"/>
    </xf>
    <xf numFmtId="0" fontId="30" fillId="3" borderId="4" xfId="0" applyFont="1" applyFill="1" applyBorder="1" applyAlignment="1">
      <alignment vertical="center" wrapText="1"/>
    </xf>
    <xf numFmtId="41" fontId="24" fillId="5" borderId="11" xfId="0" applyNumberFormat="1" applyFont="1" applyFill="1" applyBorder="1" applyAlignment="1">
      <alignment horizontal="center" vertical="center" wrapText="1"/>
    </xf>
    <xf numFmtId="41" fontId="24" fillId="5" borderId="12" xfId="0" applyNumberFormat="1" applyFont="1" applyFill="1" applyBorder="1" applyAlignment="1">
      <alignment horizontal="center" vertical="center" wrapText="1"/>
    </xf>
    <xf numFmtId="0" fontId="12" fillId="17" borderId="11" xfId="0" applyFont="1" applyFill="1" applyBorder="1" applyAlignment="1">
      <alignment vertical="center" wrapText="1"/>
    </xf>
    <xf numFmtId="0" fontId="12" fillId="17" borderId="10" xfId="0" applyFont="1" applyFill="1" applyBorder="1" applyAlignment="1">
      <alignment vertical="center" wrapText="1"/>
    </xf>
    <xf numFmtId="0" fontId="48" fillId="14" borderId="1" xfId="0" applyFont="1" applyFill="1" applyBorder="1" applyAlignment="1" applyProtection="1">
      <alignment vertical="center"/>
      <protection locked="0"/>
    </xf>
    <xf numFmtId="14" fontId="9" fillId="3" borderId="1" xfId="0" applyNumberFormat="1" applyFont="1" applyFill="1" applyBorder="1" applyAlignment="1" applyProtection="1">
      <alignment horizontal="center" vertical="center"/>
      <protection locked="0"/>
    </xf>
    <xf numFmtId="0" fontId="19" fillId="5" borderId="17" xfId="0" applyFont="1" applyFill="1" applyBorder="1" applyAlignment="1">
      <alignment horizontal="left" vertical="center" wrapText="1"/>
    </xf>
    <xf numFmtId="0" fontId="19" fillId="5" borderId="16" xfId="0" applyFont="1" applyFill="1" applyBorder="1" applyAlignment="1">
      <alignment horizontal="left" vertical="center" wrapText="1"/>
    </xf>
    <xf numFmtId="0" fontId="18" fillId="5" borderId="16" xfId="0" applyFont="1" applyFill="1" applyBorder="1" applyAlignment="1" applyProtection="1">
      <alignment horizontal="center" vertical="center" wrapText="1"/>
      <protection locked="0"/>
    </xf>
    <xf numFmtId="0" fontId="45" fillId="5" borderId="16" xfId="0" applyFont="1" applyFill="1" applyBorder="1" applyAlignment="1" applyProtection="1">
      <alignment horizontal="left" vertical="center" wrapText="1"/>
      <protection locked="0"/>
    </xf>
    <xf numFmtId="0" fontId="17" fillId="5" borderId="16" xfId="0" applyFont="1" applyFill="1" applyBorder="1" applyAlignment="1">
      <alignment horizontal="left" vertical="center"/>
    </xf>
    <xf numFmtId="0" fontId="17" fillId="5" borderId="15" xfId="0" applyFont="1" applyFill="1" applyBorder="1" applyAlignment="1">
      <alignment horizontal="left" vertical="center"/>
    </xf>
    <xf numFmtId="14" fontId="39" fillId="9" borderId="1" xfId="0" applyNumberFormat="1" applyFont="1" applyFill="1" applyBorder="1" applyAlignment="1" applyProtection="1">
      <alignment horizontal="center" vertical="center"/>
      <protection locked="0"/>
    </xf>
    <xf numFmtId="0" fontId="73" fillId="0" borderId="0" xfId="0" applyFont="1" applyAlignment="1">
      <alignment horizontal="center" vertical="center" wrapText="1"/>
    </xf>
    <xf numFmtId="0" fontId="12" fillId="0" borderId="0" xfId="0" applyFont="1" applyAlignment="1">
      <alignment vertical="center" wrapText="1"/>
    </xf>
    <xf numFmtId="0" fontId="75" fillId="0" borderId="0" xfId="0" applyFont="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horizontal="center" vertical="center" wrapText="1"/>
    </xf>
    <xf numFmtId="0" fontId="16" fillId="0" borderId="0" xfId="0" applyFont="1" applyAlignment="1">
      <alignment horizontal="left" vertical="top" wrapText="1"/>
    </xf>
    <xf numFmtId="0" fontId="17" fillId="0" borderId="0" xfId="0" applyFont="1" applyAlignment="1">
      <alignment horizontal="left"/>
    </xf>
    <xf numFmtId="0" fontId="0" fillId="0" borderId="1" xfId="0" applyBorder="1" applyAlignment="1">
      <alignment horizontal="left" vertical="center"/>
    </xf>
    <xf numFmtId="0" fontId="0" fillId="0" borderId="1" xfId="0" applyBorder="1"/>
    <xf numFmtId="0" fontId="0" fillId="0" borderId="0" xfId="0" applyAlignment="1">
      <alignment vertical="center" wrapText="1"/>
    </xf>
    <xf numFmtId="14" fontId="0" fillId="9" borderId="0" xfId="0" applyNumberFormat="1" applyFill="1" applyAlignment="1" applyProtection="1">
      <alignment horizontal="center" vertical="center"/>
      <protection locked="0"/>
    </xf>
    <xf numFmtId="0" fontId="2" fillId="14" borderId="1" xfId="0" applyFont="1" applyFill="1" applyBorder="1" applyAlignment="1">
      <alignment horizontal="left"/>
    </xf>
    <xf numFmtId="0" fontId="12" fillId="14" borderId="1" xfId="0" applyFont="1" applyFill="1" applyBorder="1" applyAlignment="1">
      <alignment horizontal="left"/>
    </xf>
    <xf numFmtId="0" fontId="18" fillId="7" borderId="1" xfId="0" applyFont="1" applyFill="1" applyBorder="1" applyAlignment="1">
      <alignment horizontal="center" vertical="center" wrapText="1"/>
    </xf>
    <xf numFmtId="0" fontId="45" fillId="14" borderId="1" xfId="0" applyFont="1" applyFill="1" applyBorder="1" applyAlignment="1">
      <alignment horizontal="left" vertical="center" wrapText="1"/>
    </xf>
    <xf numFmtId="0" fontId="2" fillId="3" borderId="1" xfId="0" applyFont="1" applyFill="1" applyBorder="1" applyAlignment="1">
      <alignment horizontal="left"/>
    </xf>
    <xf numFmtId="0" fontId="12" fillId="3" borderId="1" xfId="0" applyFont="1" applyFill="1" applyBorder="1" applyAlignment="1">
      <alignment horizontal="left"/>
    </xf>
    <xf numFmtId="0" fontId="45" fillId="3" borderId="1" xfId="0" applyFont="1" applyFill="1" applyBorder="1" applyAlignment="1">
      <alignment horizontal="left" vertical="center" wrapText="1"/>
    </xf>
    <xf numFmtId="0" fontId="7" fillId="4" borderId="1" xfId="0" applyFont="1" applyFill="1" applyBorder="1" applyAlignment="1" applyProtection="1">
      <alignment horizontal="left" vertical="center"/>
      <protection locked="0"/>
    </xf>
    <xf numFmtId="0" fontId="6" fillId="13" borderId="1" xfId="0" applyFont="1" applyFill="1" applyBorder="1" applyAlignment="1" applyProtection="1">
      <alignment horizontal="left" vertical="center"/>
      <protection locked="0"/>
    </xf>
    <xf numFmtId="0" fontId="6" fillId="12" borderId="1" xfId="0" applyFont="1" applyFill="1" applyBorder="1" applyAlignment="1" applyProtection="1">
      <alignment horizontal="left" vertical="center"/>
      <protection locked="0"/>
    </xf>
    <xf numFmtId="0" fontId="6" fillId="11" borderId="1" xfId="0" applyFont="1" applyFill="1" applyBorder="1" applyAlignment="1" applyProtection="1">
      <alignment horizontal="left" vertical="center"/>
      <protection locked="0"/>
    </xf>
    <xf numFmtId="14" fontId="6" fillId="12" borderId="1" xfId="0" quotePrefix="1" applyNumberFormat="1" applyFont="1" applyFill="1" applyBorder="1" applyAlignment="1" applyProtection="1">
      <alignment horizontal="left" vertical="center"/>
      <protection locked="0"/>
    </xf>
    <xf numFmtId="14" fontId="9" fillId="9" borderId="1" xfId="0" applyNumberFormat="1" applyFont="1" applyFill="1" applyBorder="1" applyAlignment="1" applyProtection="1">
      <alignment horizontal="center" vertical="center" wrapText="1"/>
      <protection locked="0"/>
    </xf>
    <xf numFmtId="41" fontId="38" fillId="15" borderId="1" xfId="0" applyNumberFormat="1" applyFont="1" applyFill="1" applyBorder="1" applyAlignment="1">
      <alignment horizontal="center" vertical="center"/>
    </xf>
    <xf numFmtId="0" fontId="38" fillId="15" borderId="1" xfId="0" applyFont="1" applyFill="1" applyBorder="1" applyAlignment="1">
      <alignment horizontal="center" vertical="center"/>
    </xf>
    <xf numFmtId="41" fontId="69" fillId="15" borderId="1" xfId="0" applyNumberFormat="1" applyFont="1" applyFill="1" applyBorder="1" applyAlignment="1">
      <alignment horizontal="center" vertical="center"/>
    </xf>
    <xf numFmtId="41" fontId="0" fillId="35" borderId="11" xfId="0" applyNumberFormat="1" applyFill="1" applyBorder="1" applyAlignment="1">
      <alignment vertical="center"/>
    </xf>
    <xf numFmtId="0" fontId="12" fillId="31" borderId="17" xfId="0" applyFont="1" applyFill="1" applyBorder="1" applyAlignment="1">
      <alignment horizontal="center"/>
    </xf>
    <xf numFmtId="0" fontId="12" fillId="31" borderId="16" xfId="0" applyFont="1" applyFill="1" applyBorder="1" applyAlignment="1">
      <alignment horizontal="center"/>
    </xf>
    <xf numFmtId="0" fontId="23" fillId="31" borderId="14" xfId="0" applyFont="1" applyFill="1" applyBorder="1" applyAlignment="1">
      <alignment horizontal="center"/>
    </xf>
    <xf numFmtId="0" fontId="23" fillId="31" borderId="0" xfId="0" applyFont="1" applyFill="1" applyAlignment="1">
      <alignment horizontal="center"/>
    </xf>
    <xf numFmtId="0" fontId="22" fillId="31" borderId="9" xfId="0" applyFont="1" applyFill="1" applyBorder="1" applyAlignment="1">
      <alignment horizontal="center"/>
    </xf>
    <xf numFmtId="0" fontId="22" fillId="31" borderId="8" xfId="0" applyFont="1" applyFill="1" applyBorder="1" applyAlignment="1">
      <alignment horizontal="center"/>
    </xf>
    <xf numFmtId="0" fontId="70" fillId="5" borderId="0" xfId="0" applyFont="1" applyFill="1" applyAlignment="1">
      <alignment vertical="center"/>
    </xf>
    <xf numFmtId="0" fontId="3" fillId="5" borderId="16" xfId="0" applyFont="1" applyFill="1" applyBorder="1"/>
    <xf numFmtId="0" fontId="23" fillId="16" borderId="1" xfId="0" applyFont="1" applyFill="1" applyBorder="1" applyAlignment="1">
      <alignment horizontal="center" vertical="center"/>
    </xf>
    <xf numFmtId="0" fontId="23" fillId="18" borderId="1" xfId="0" applyFont="1" applyFill="1" applyBorder="1" applyAlignment="1">
      <alignment horizontal="center" vertical="center"/>
    </xf>
    <xf numFmtId="41" fontId="0" fillId="19" borderId="1" xfId="0" applyNumberFormat="1" applyFill="1" applyBorder="1"/>
    <xf numFmtId="0" fontId="23" fillId="20" borderId="1" xfId="0" applyFont="1" applyFill="1" applyBorder="1" applyAlignment="1">
      <alignment horizontal="center" vertical="center"/>
    </xf>
    <xf numFmtId="41" fontId="53" fillId="20" borderId="11" xfId="0" applyNumberFormat="1" applyFont="1" applyFill="1" applyBorder="1" applyAlignment="1">
      <alignment horizontal="center" vertical="center"/>
    </xf>
    <xf numFmtId="41" fontId="67" fillId="5" borderId="11" xfId="0" applyNumberFormat="1" applyFont="1" applyFill="1" applyBorder="1"/>
    <xf numFmtId="41" fontId="67" fillId="5" borderId="12" xfId="0" applyNumberFormat="1" applyFont="1" applyFill="1" applyBorder="1"/>
    <xf numFmtId="41" fontId="0" fillId="35" borderId="1" xfId="0" applyNumberFormat="1" applyFill="1" applyBorder="1" applyAlignment="1">
      <alignment vertical="center"/>
    </xf>
    <xf numFmtId="41" fontId="0" fillId="21" borderId="1" xfId="0" applyNumberFormat="1" applyFill="1" applyBorder="1"/>
    <xf numFmtId="0" fontId="23" fillId="27" borderId="1" xfId="0" applyFont="1" applyFill="1" applyBorder="1" applyAlignment="1">
      <alignment horizontal="center" vertical="center"/>
    </xf>
    <xf numFmtId="41" fontId="39" fillId="28" borderId="1" xfId="0" applyNumberFormat="1" applyFont="1" applyFill="1" applyBorder="1"/>
    <xf numFmtId="41" fontId="39" fillId="28" borderId="11" xfId="0" applyNumberFormat="1" applyFont="1" applyFill="1" applyBorder="1"/>
    <xf numFmtId="41" fontId="39" fillId="9" borderId="11" xfId="0" applyNumberFormat="1" applyFont="1" applyFill="1" applyBorder="1"/>
    <xf numFmtId="41" fontId="39" fillId="9" borderId="1" xfId="0" applyNumberFormat="1" applyFont="1" applyFill="1" applyBorder="1"/>
    <xf numFmtId="41" fontId="39" fillId="24" borderId="1" xfId="0" applyNumberFormat="1" applyFont="1" applyFill="1" applyBorder="1"/>
    <xf numFmtId="0" fontId="38" fillId="23" borderId="1" xfId="0" applyFont="1" applyFill="1" applyBorder="1" applyAlignment="1">
      <alignment horizontal="center" vertical="center"/>
    </xf>
    <xf numFmtId="41" fontId="59" fillId="25" borderId="11" xfId="0" applyNumberFormat="1" applyFont="1" applyFill="1" applyBorder="1"/>
    <xf numFmtId="0" fontId="38" fillId="27" borderId="1" xfId="0" applyFont="1" applyFill="1" applyBorder="1" applyAlignment="1">
      <alignment horizontal="center" vertical="center"/>
    </xf>
    <xf numFmtId="41" fontId="59" fillId="27" borderId="11" xfId="0" applyNumberFormat="1" applyFont="1" applyFill="1" applyBorder="1"/>
    <xf numFmtId="0" fontId="79" fillId="3" borderId="1" xfId="0" applyFont="1" applyFill="1" applyBorder="1" applyAlignment="1">
      <alignment vertical="center" wrapText="1"/>
    </xf>
    <xf numFmtId="164" fontId="80" fillId="4" borderId="1" xfId="0" applyNumberFormat="1" applyFont="1" applyFill="1" applyBorder="1" applyAlignment="1">
      <alignment horizontal="center" vertical="center" wrapText="1"/>
    </xf>
    <xf numFmtId="0" fontId="50" fillId="5" borderId="14" xfId="0" applyFont="1" applyFill="1" applyBorder="1" applyAlignment="1">
      <alignment horizontal="left"/>
    </xf>
    <xf numFmtId="0" fontId="50" fillId="5" borderId="0" xfId="0" applyFont="1" applyFill="1" applyAlignment="1">
      <alignment horizontal="left"/>
    </xf>
    <xf numFmtId="0" fontId="2" fillId="32" borderId="11" xfId="0" applyFont="1" applyFill="1" applyBorder="1" applyAlignment="1">
      <alignment horizontal="left" vertical="center"/>
    </xf>
    <xf numFmtId="0" fontId="2" fillId="32" borderId="10" xfId="0" applyFont="1" applyFill="1" applyBorder="1" applyAlignment="1">
      <alignment horizontal="left" vertical="center"/>
    </xf>
    <xf numFmtId="0" fontId="2" fillId="32" borderId="12" xfId="0" applyFont="1" applyFill="1" applyBorder="1" applyAlignment="1">
      <alignment horizontal="left" vertical="center"/>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81" fillId="26" borderId="1" xfId="0" applyFont="1" applyFill="1" applyBorder="1" applyAlignment="1">
      <alignment horizontal="center" vertical="center"/>
    </xf>
    <xf numFmtId="41" fontId="0" fillId="34" borderId="11" xfId="0" applyNumberFormat="1" applyFill="1" applyBorder="1" applyAlignment="1">
      <alignment horizontal="center" vertical="center"/>
    </xf>
    <xf numFmtId="41" fontId="0" fillId="34" borderId="1" xfId="0" applyNumberFormat="1" applyFill="1" applyBorder="1" applyAlignment="1">
      <alignment horizontal="center" vertical="center"/>
    </xf>
    <xf numFmtId="41" fontId="49" fillId="26" borderId="11" xfId="0" applyNumberFormat="1" applyFont="1" applyFill="1" applyBorder="1" applyAlignment="1">
      <alignment horizontal="center" vertical="center"/>
    </xf>
    <xf numFmtId="0" fontId="84" fillId="5" borderId="11" xfId="0" applyFont="1" applyFill="1" applyBorder="1" applyAlignment="1">
      <alignment horizontal="right" vertical="center" wrapText="1"/>
    </xf>
    <xf numFmtId="0" fontId="84" fillId="5" borderId="10" xfId="0" applyFont="1" applyFill="1" applyBorder="1" applyAlignment="1">
      <alignment horizontal="right" vertical="center" wrapText="1"/>
    </xf>
    <xf numFmtId="41" fontId="49" fillId="5" borderId="11" xfId="0" applyNumberFormat="1" applyFont="1" applyFill="1" applyBorder="1" applyAlignment="1">
      <alignment horizontal="center" vertical="center"/>
    </xf>
    <xf numFmtId="41" fontId="2" fillId="16" borderId="11" xfId="0" applyNumberFormat="1" applyFont="1" applyFill="1" applyBorder="1"/>
    <xf numFmtId="0" fontId="23" fillId="16" borderId="1" xfId="0" applyFont="1" applyFill="1" applyBorder="1" applyAlignment="1">
      <alignment horizontal="center" vertical="center" wrapText="1"/>
    </xf>
    <xf numFmtId="0" fontId="23" fillId="18" borderId="1" xfId="0" applyFont="1" applyFill="1" applyBorder="1" applyAlignment="1">
      <alignment horizontal="center" vertical="center" wrapText="1"/>
    </xf>
    <xf numFmtId="41" fontId="2" fillId="18" borderId="11" xfId="0" applyNumberFormat="1" applyFont="1" applyFill="1" applyBorder="1" applyAlignment="1">
      <alignment horizontal="center" vertical="center"/>
    </xf>
    <xf numFmtId="0" fontId="23" fillId="20" borderId="1" xfId="0" applyFont="1" applyFill="1" applyBorder="1" applyAlignment="1">
      <alignment horizontal="center" vertical="center" wrapText="1"/>
    </xf>
    <xf numFmtId="41" fontId="69" fillId="25" borderId="1" xfId="0" applyNumberFormat="1" applyFont="1" applyFill="1" applyBorder="1"/>
    <xf numFmtId="41" fontId="69" fillId="27" borderId="1" xfId="0" applyNumberFormat="1" applyFont="1" applyFill="1" applyBorder="1"/>
    <xf numFmtId="41" fontId="0" fillId="16" borderId="1" xfId="0" applyNumberFormat="1" applyFill="1" applyBorder="1"/>
    <xf numFmtId="41" fontId="86" fillId="16" borderId="1" xfId="0" applyNumberFormat="1" applyFont="1" applyFill="1" applyBorder="1"/>
    <xf numFmtId="41" fontId="63" fillId="18" borderId="1" xfId="0" applyNumberFormat="1" applyFont="1" applyFill="1" applyBorder="1" applyAlignment="1">
      <alignment horizontal="center" vertical="center"/>
    </xf>
    <xf numFmtId="41" fontId="69" fillId="20" borderId="1" xfId="0" applyNumberFormat="1" applyFont="1" applyFill="1" applyBorder="1" applyAlignment="1">
      <alignment horizontal="center" vertical="center"/>
    </xf>
    <xf numFmtId="0" fontId="81" fillId="26" borderId="2" xfId="0" applyFont="1" applyFill="1" applyBorder="1" applyAlignment="1">
      <alignment horizontal="center" vertical="center" wrapText="1"/>
    </xf>
    <xf numFmtId="41" fontId="2" fillId="34" borderId="1" xfId="0" applyNumberFormat="1" applyFont="1" applyFill="1" applyBorder="1" applyAlignment="1">
      <alignment horizontal="center" vertical="center"/>
    </xf>
    <xf numFmtId="41" fontId="49" fillId="43" borderId="1" xfId="0" applyNumberFormat="1" applyFont="1" applyFill="1" applyBorder="1" applyAlignment="1">
      <alignment horizontal="center" vertical="center"/>
    </xf>
    <xf numFmtId="41" fontId="49" fillId="5" borderId="1" xfId="0" applyNumberFormat="1" applyFont="1" applyFill="1" applyBorder="1" applyAlignment="1">
      <alignment horizontal="center" vertical="center"/>
    </xf>
    <xf numFmtId="0" fontId="23" fillId="27" borderId="1" xfId="0" applyFont="1" applyFill="1" applyBorder="1" applyAlignment="1">
      <alignment horizontal="center" vertical="center" wrapText="1"/>
    </xf>
    <xf numFmtId="0" fontId="38" fillId="15" borderId="1" xfId="0" applyFont="1" applyFill="1" applyBorder="1" applyAlignment="1">
      <alignment horizontal="center" vertical="center" wrapText="1"/>
    </xf>
    <xf numFmtId="0" fontId="38" fillId="23" borderId="1" xfId="0" applyFont="1" applyFill="1" applyBorder="1" applyAlignment="1">
      <alignment horizontal="center" vertical="center" wrapText="1"/>
    </xf>
    <xf numFmtId="0" fontId="38" fillId="27" borderId="1" xfId="0" applyFont="1" applyFill="1" applyBorder="1" applyAlignment="1">
      <alignment horizontal="center" vertical="center" wrapText="1"/>
    </xf>
    <xf numFmtId="41" fontId="39" fillId="45" borderId="11" xfId="0" applyNumberFormat="1" applyFont="1" applyFill="1" applyBorder="1"/>
    <xf numFmtId="41" fontId="39" fillId="45" borderId="1" xfId="0" applyNumberFormat="1" applyFont="1" applyFill="1" applyBorder="1"/>
    <xf numFmtId="0" fontId="23" fillId="0" borderId="14" xfId="0" applyFont="1" applyBorder="1" applyAlignment="1">
      <alignment horizontal="center" vertical="center"/>
    </xf>
    <xf numFmtId="0" fontId="23" fillId="0" borderId="0" xfId="0" applyFont="1" applyAlignment="1">
      <alignment horizontal="center" vertical="center"/>
    </xf>
    <xf numFmtId="41" fontId="0" fillId="0" borderId="14" xfId="0" applyNumberFormat="1" applyBorder="1"/>
    <xf numFmtId="41" fontId="0" fillId="0" borderId="0" xfId="0" applyNumberFormat="1"/>
    <xf numFmtId="0" fontId="3" fillId="0" borderId="0" xfId="0" applyFont="1"/>
    <xf numFmtId="0" fontId="3" fillId="0" borderId="14" xfId="0" applyFont="1" applyBorder="1"/>
    <xf numFmtId="0" fontId="38" fillId="0" borderId="14" xfId="0" applyFont="1" applyBorder="1" applyAlignment="1">
      <alignment horizontal="center" vertical="center"/>
    </xf>
    <xf numFmtId="0" fontId="38" fillId="0" borderId="0" xfId="0" applyFont="1" applyAlignment="1">
      <alignment horizontal="center" vertical="center"/>
    </xf>
    <xf numFmtId="41" fontId="39" fillId="0" borderId="14" xfId="0" applyNumberFormat="1" applyFont="1" applyBorder="1"/>
    <xf numFmtId="41" fontId="39" fillId="0" borderId="0" xfId="0" applyNumberFormat="1" applyFont="1"/>
    <xf numFmtId="0" fontId="0" fillId="14" borderId="1" xfId="0" applyFill="1" applyBorder="1" applyAlignment="1" applyProtection="1">
      <alignment vertical="center" wrapText="1"/>
      <protection locked="0"/>
    </xf>
    <xf numFmtId="0" fontId="0" fillId="9" borderId="1" xfId="0" applyFill="1" applyBorder="1" applyAlignment="1" applyProtection="1">
      <alignment vertical="center" wrapText="1"/>
      <protection locked="0"/>
    </xf>
    <xf numFmtId="14" fontId="4" fillId="3" borderId="1"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73" fillId="5" borderId="0" xfId="0" applyFont="1" applyFill="1" applyAlignment="1">
      <alignment horizontal="center" vertical="center" wrapText="1"/>
    </xf>
    <xf numFmtId="0" fontId="12" fillId="36" borderId="14" xfId="0" applyFont="1" applyFill="1" applyBorder="1" applyAlignment="1">
      <alignment vertical="center" wrapText="1"/>
    </xf>
    <xf numFmtId="0" fontId="12" fillId="36" borderId="0" xfId="0" applyFont="1" applyFill="1" applyAlignment="1">
      <alignment vertical="center" wrapText="1"/>
    </xf>
    <xf numFmtId="0" fontId="76" fillId="5" borderId="0" xfId="0" applyFont="1" applyFill="1" applyAlignment="1">
      <alignment horizontal="center" vertical="center" wrapText="1"/>
    </xf>
    <xf numFmtId="0" fontId="41" fillId="41" borderId="26" xfId="0" applyFont="1" applyFill="1" applyBorder="1"/>
    <xf numFmtId="0" fontId="41" fillId="41" borderId="28" xfId="0" applyFont="1" applyFill="1" applyBorder="1"/>
    <xf numFmtId="0" fontId="41" fillId="0" borderId="27" xfId="0" applyFont="1" applyBorder="1"/>
    <xf numFmtId="0" fontId="41" fillId="0" borderId="28" xfId="0" applyFont="1" applyBorder="1"/>
    <xf numFmtId="0" fontId="41" fillId="0" borderId="29" xfId="0" applyFont="1" applyBorder="1"/>
    <xf numFmtId="0" fontId="41" fillId="41" borderId="25" xfId="0" applyFont="1" applyFill="1" applyBorder="1"/>
    <xf numFmtId="0" fontId="0" fillId="3" borderId="1" xfId="0" applyFill="1" applyBorder="1"/>
    <xf numFmtId="0" fontId="0" fillId="4" borderId="1" xfId="0" applyFill="1" applyBorder="1"/>
    <xf numFmtId="0" fontId="0" fillId="4" borderId="1" xfId="0" applyFill="1" applyBorder="1" applyAlignment="1">
      <alignment vertical="center" wrapText="1"/>
    </xf>
    <xf numFmtId="0" fontId="0" fillId="3" borderId="1" xfId="0" applyFill="1" applyBorder="1" applyAlignment="1">
      <alignment vertical="center" wrapText="1"/>
    </xf>
    <xf numFmtId="0" fontId="0" fillId="9" borderId="1" xfId="0" applyFill="1" applyBorder="1" applyAlignment="1">
      <alignment vertical="center" wrapText="1"/>
    </xf>
    <xf numFmtId="0" fontId="0" fillId="40" borderId="1" xfId="0" applyFill="1" applyBorder="1" applyAlignment="1">
      <alignment vertical="center" wrapText="1"/>
    </xf>
    <xf numFmtId="0" fontId="0" fillId="39" borderId="1" xfId="0" applyFill="1" applyBorder="1" applyAlignment="1">
      <alignment vertical="center" wrapText="1"/>
    </xf>
    <xf numFmtId="0" fontId="0" fillId="40" borderId="11" xfId="0" applyFill="1" applyBorder="1"/>
    <xf numFmtId="0" fontId="0" fillId="40" borderId="10" xfId="0" applyFill="1" applyBorder="1"/>
    <xf numFmtId="0" fontId="0" fillId="40" borderId="12" xfId="0" applyFill="1" applyBorder="1"/>
    <xf numFmtId="0" fontId="1" fillId="40" borderId="11" xfId="0" applyFont="1" applyFill="1" applyBorder="1" applyAlignment="1">
      <alignment vertical="center" wrapText="1"/>
    </xf>
    <xf numFmtId="0" fontId="1" fillId="40" borderId="10" xfId="0" applyFont="1" applyFill="1" applyBorder="1" applyAlignment="1">
      <alignment vertical="center" wrapText="1"/>
    </xf>
    <xf numFmtId="0" fontId="1" fillId="40" borderId="12" xfId="0" applyFont="1" applyFill="1" applyBorder="1" applyAlignment="1">
      <alignment vertical="center" wrapText="1"/>
    </xf>
    <xf numFmtId="0" fontId="0" fillId="39" borderId="11" xfId="0" applyFill="1" applyBorder="1"/>
    <xf numFmtId="0" fontId="0" fillId="39" borderId="10" xfId="0" applyFill="1" applyBorder="1"/>
    <xf numFmtId="0" fontId="0" fillId="39" borderId="12" xfId="0" applyFill="1" applyBorder="1"/>
    <xf numFmtId="0" fontId="1" fillId="39" borderId="11" xfId="0" applyFont="1" applyFill="1" applyBorder="1"/>
    <xf numFmtId="0" fontId="1" fillId="39" borderId="10" xfId="0" applyFont="1" applyFill="1" applyBorder="1"/>
    <xf numFmtId="0" fontId="1" fillId="39" borderId="12" xfId="0" applyFont="1" applyFill="1" applyBorder="1"/>
    <xf numFmtId="0" fontId="19" fillId="7" borderId="11"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9" fillId="38" borderId="11"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19" fillId="38" borderId="12" xfId="0" applyFont="1" applyFill="1" applyBorder="1" applyAlignment="1">
      <alignment horizontal="center" vertical="center" wrapText="1"/>
    </xf>
    <xf numFmtId="0" fontId="0" fillId="4" borderId="11" xfId="0" applyFill="1" applyBorder="1"/>
    <xf numFmtId="0" fontId="0" fillId="4" borderId="10" xfId="0" applyFill="1" applyBorder="1"/>
    <xf numFmtId="0" fontId="0" fillId="4" borderId="12" xfId="0" applyFill="1" applyBorder="1"/>
    <xf numFmtId="0" fontId="20" fillId="3" borderId="11"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16" xfId="0" applyFont="1" applyFill="1" applyBorder="1" applyAlignment="1">
      <alignment horizontal="left" vertical="center"/>
    </xf>
    <xf numFmtId="0" fontId="2" fillId="3" borderId="15" xfId="0" applyFont="1" applyFill="1" applyBorder="1" applyAlignment="1">
      <alignment horizontal="left" vertical="center"/>
    </xf>
    <xf numFmtId="0" fontId="2" fillId="3" borderId="9" xfId="0" applyFont="1" applyFill="1" applyBorder="1" applyAlignment="1">
      <alignment horizontal="left" vertical="center"/>
    </xf>
    <xf numFmtId="0" fontId="2" fillId="3" borderId="8" xfId="0" applyFont="1" applyFill="1" applyBorder="1" applyAlignment="1">
      <alignment horizontal="left" vertical="center"/>
    </xf>
    <xf numFmtId="0" fontId="2" fillId="3" borderId="7" xfId="0" applyFont="1" applyFill="1" applyBorder="1" applyAlignment="1">
      <alignment horizontal="left" vertical="center"/>
    </xf>
    <xf numFmtId="0" fontId="19" fillId="40" borderId="1" xfId="0" applyFont="1" applyFill="1" applyBorder="1" applyAlignment="1">
      <alignment vertical="center" wrapText="1"/>
    </xf>
    <xf numFmtId="0" fontId="0" fillId="14" borderId="1" xfId="0" applyFill="1" applyBorder="1" applyAlignment="1">
      <alignment vertical="center" wrapText="1"/>
    </xf>
    <xf numFmtId="0" fontId="0" fillId="9" borderId="1" xfId="0" applyFill="1" applyBorder="1"/>
    <xf numFmtId="0" fontId="0" fillId="14" borderId="1" xfId="0" applyFill="1" applyBorder="1"/>
    <xf numFmtId="0" fontId="0" fillId="14" borderId="11" xfId="0" applyFill="1" applyBorder="1"/>
    <xf numFmtId="0" fontId="0" fillId="14" borderId="10" xfId="0" applyFill="1" applyBorder="1"/>
    <xf numFmtId="0" fontId="0" fillId="14" borderId="12" xfId="0" applyFill="1" applyBorder="1"/>
    <xf numFmtId="0" fontId="72" fillId="3" borderId="0" xfId="0" applyFont="1" applyFill="1"/>
    <xf numFmtId="0" fontId="0" fillId="0" borderId="0" xfId="0"/>
    <xf numFmtId="0" fontId="12" fillId="3" borderId="17" xfId="0" applyFont="1" applyFill="1" applyBorder="1" applyAlignment="1">
      <alignment horizontal="center"/>
    </xf>
    <xf numFmtId="0" fontId="12" fillId="3" borderId="16" xfId="0" applyFont="1" applyFill="1" applyBorder="1" applyAlignment="1">
      <alignment horizontal="center"/>
    </xf>
    <xf numFmtId="0" fontId="12" fillId="3" borderId="15" xfId="0" applyFont="1" applyFill="1" applyBorder="1" applyAlignment="1">
      <alignment horizontal="center"/>
    </xf>
    <xf numFmtId="0" fontId="23" fillId="3" borderId="14" xfId="0" applyFont="1" applyFill="1" applyBorder="1" applyAlignment="1">
      <alignment horizontal="center"/>
    </xf>
    <xf numFmtId="0" fontId="23" fillId="3" borderId="0" xfId="0" applyFont="1" applyFill="1" applyAlignment="1">
      <alignment horizontal="center"/>
    </xf>
    <xf numFmtId="0" fontId="23" fillId="3" borderId="13" xfId="0" applyFont="1" applyFill="1" applyBorder="1" applyAlignment="1">
      <alignment horizontal="center"/>
    </xf>
    <xf numFmtId="0" fontId="21" fillId="3" borderId="9" xfId="0" applyFont="1" applyFill="1" applyBorder="1" applyAlignment="1">
      <alignment horizontal="center"/>
    </xf>
    <xf numFmtId="0" fontId="21" fillId="3" borderId="8" xfId="0" applyFont="1" applyFill="1" applyBorder="1" applyAlignment="1">
      <alignment horizontal="center"/>
    </xf>
    <xf numFmtId="0" fontId="21" fillId="3" borderId="7" xfId="0" applyFont="1" applyFill="1" applyBorder="1" applyAlignment="1">
      <alignment horizontal="center"/>
    </xf>
    <xf numFmtId="0" fontId="2" fillId="3" borderId="11" xfId="0" applyFont="1" applyFill="1" applyBorder="1" applyAlignment="1">
      <alignment horizontal="left"/>
    </xf>
    <xf numFmtId="0" fontId="2" fillId="3" borderId="10" xfId="0" applyFont="1" applyFill="1" applyBorder="1" applyAlignment="1">
      <alignment horizontal="left"/>
    </xf>
    <xf numFmtId="0" fontId="2" fillId="3" borderId="12" xfId="0" applyFont="1" applyFill="1" applyBorder="1" applyAlignment="1">
      <alignment horizontal="left"/>
    </xf>
    <xf numFmtId="0" fontId="72" fillId="3" borderId="1" xfId="0" applyFont="1" applyFill="1" applyBorder="1"/>
    <xf numFmtId="0" fontId="72" fillId="36" borderId="0" xfId="0" applyFont="1" applyFill="1"/>
    <xf numFmtId="0" fontId="0" fillId="4" borderId="11" xfId="0" applyFill="1" applyBorder="1" applyAlignment="1">
      <alignment horizontal="left"/>
    </xf>
    <xf numFmtId="0" fontId="0" fillId="4" borderId="10" xfId="0" applyFill="1" applyBorder="1" applyAlignment="1">
      <alignment horizontal="left"/>
    </xf>
    <xf numFmtId="0" fontId="0" fillId="4" borderId="12" xfId="0" applyFill="1" applyBorder="1" applyAlignment="1">
      <alignment horizontal="left"/>
    </xf>
    <xf numFmtId="0" fontId="3" fillId="42" borderId="0" xfId="0" applyFont="1" applyFill="1"/>
    <xf numFmtId="0" fontId="0" fillId="40" borderId="11" xfId="0" applyFill="1" applyBorder="1" applyAlignment="1">
      <alignment vertical="center" wrapText="1"/>
    </xf>
    <xf numFmtId="0" fontId="0" fillId="40" borderId="10" xfId="0" applyFill="1" applyBorder="1" applyAlignment="1">
      <alignment vertical="center" wrapText="1"/>
    </xf>
    <xf numFmtId="0" fontId="0" fillId="40" borderId="12" xfId="0" applyFill="1" applyBorder="1" applyAlignment="1">
      <alignment vertical="center" wrapText="1"/>
    </xf>
    <xf numFmtId="0" fontId="0" fillId="39" borderId="11" xfId="0" applyFill="1" applyBorder="1" applyAlignment="1">
      <alignment vertical="center" wrapText="1"/>
    </xf>
    <xf numFmtId="0" fontId="0" fillId="39" borderId="10" xfId="0" applyFill="1" applyBorder="1" applyAlignment="1">
      <alignment vertical="center" wrapText="1"/>
    </xf>
    <xf numFmtId="0" fontId="0" fillId="39" borderId="12" xfId="0" applyFill="1" applyBorder="1" applyAlignment="1">
      <alignment vertical="center" wrapText="1"/>
    </xf>
    <xf numFmtId="0" fontId="17" fillId="4" borderId="11" xfId="0" applyFont="1" applyFill="1" applyBorder="1" applyAlignment="1">
      <alignment horizontal="left"/>
    </xf>
    <xf numFmtId="0" fontId="17" fillId="4" borderId="10" xfId="0" applyFont="1" applyFill="1" applyBorder="1" applyAlignment="1">
      <alignment horizontal="left"/>
    </xf>
    <xf numFmtId="0" fontId="17" fillId="4" borderId="12" xfId="0" applyFont="1" applyFill="1" applyBorder="1" applyAlignment="1">
      <alignment horizontal="left"/>
    </xf>
    <xf numFmtId="0" fontId="71" fillId="37" borderId="0" xfId="0" applyFont="1" applyFill="1"/>
    <xf numFmtId="0" fontId="16" fillId="3" borderId="11" xfId="0" applyFont="1" applyFill="1" applyBorder="1" applyAlignment="1">
      <alignment horizontal="left" vertical="top" wrapText="1"/>
    </xf>
    <xf numFmtId="0" fontId="16" fillId="3" borderId="1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4" borderId="17" xfId="0" applyFill="1" applyBorder="1" applyAlignment="1">
      <alignment vertical="center"/>
    </xf>
    <xf numFmtId="0" fontId="0" fillId="4" borderId="16" xfId="0" applyFill="1" applyBorder="1" applyAlignment="1">
      <alignment vertical="center"/>
    </xf>
    <xf numFmtId="0" fontId="0" fillId="4" borderId="15" xfId="0" applyFill="1" applyBorder="1" applyAlignment="1">
      <alignment vertical="center"/>
    </xf>
    <xf numFmtId="0" fontId="0" fillId="4" borderId="9" xfId="0" applyFill="1" applyBorder="1" applyAlignment="1">
      <alignment vertical="center"/>
    </xf>
    <xf numFmtId="0" fontId="0" fillId="4" borderId="8" xfId="0" applyFill="1" applyBorder="1" applyAlignment="1">
      <alignment vertical="center"/>
    </xf>
    <xf numFmtId="0" fontId="0" fillId="4" borderId="7" xfId="0" applyFill="1" applyBorder="1" applyAlignment="1">
      <alignment vertical="center"/>
    </xf>
    <xf numFmtId="0" fontId="12" fillId="3" borderId="11" xfId="0" applyFont="1" applyFill="1" applyBorder="1" applyAlignment="1">
      <alignment horizontal="left"/>
    </xf>
    <xf numFmtId="0" fontId="12" fillId="3" borderId="10" xfId="0" applyFont="1" applyFill="1" applyBorder="1" applyAlignment="1">
      <alignment horizontal="left"/>
    </xf>
    <xf numFmtId="0" fontId="12" fillId="3" borderId="12" xfId="0" applyFont="1" applyFill="1" applyBorder="1" applyAlignment="1">
      <alignment horizontal="left"/>
    </xf>
    <xf numFmtId="0" fontId="0" fillId="9" borderId="11" xfId="0" applyFill="1" applyBorder="1" applyProtection="1">
      <protection locked="0"/>
    </xf>
    <xf numFmtId="0" fontId="0" fillId="9" borderId="12" xfId="0" applyFill="1" applyBorder="1" applyProtection="1">
      <protection locked="0"/>
    </xf>
    <xf numFmtId="0" fontId="16" fillId="9" borderId="11"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0" fillId="14" borderId="11" xfId="0" applyFill="1" applyBorder="1" applyProtection="1">
      <protection locked="0"/>
    </xf>
    <xf numFmtId="0" fontId="0" fillId="14" borderId="12" xfId="0" applyFill="1" applyBorder="1" applyProtection="1">
      <protection locked="0"/>
    </xf>
    <xf numFmtId="0" fontId="16" fillId="14" borderId="11" xfId="0" applyFont="1" applyFill="1" applyBorder="1" applyAlignment="1">
      <alignment horizontal="center" vertical="center" wrapText="1"/>
    </xf>
    <xf numFmtId="0" fontId="16" fillId="14" borderId="12" xfId="0" applyFont="1" applyFill="1" applyBorder="1" applyAlignment="1">
      <alignment horizontal="center" vertical="center" wrapText="1"/>
    </xf>
    <xf numFmtId="0" fontId="12" fillId="14" borderId="1" xfId="0" applyFont="1" applyFill="1" applyBorder="1" applyAlignment="1">
      <alignment horizontal="center"/>
    </xf>
    <xf numFmtId="0" fontId="23" fillId="14" borderId="1" xfId="0" applyFont="1" applyFill="1" applyBorder="1" applyAlignment="1">
      <alignment horizontal="center"/>
    </xf>
    <xf numFmtId="0" fontId="22" fillId="14" borderId="1" xfId="0" applyFont="1" applyFill="1" applyBorder="1" applyAlignment="1">
      <alignment horizontal="center"/>
    </xf>
    <xf numFmtId="0" fontId="0" fillId="9" borderId="11" xfId="0" applyFill="1" applyBorder="1" applyAlignment="1" applyProtection="1">
      <alignment vertical="center" wrapText="1"/>
      <protection locked="0"/>
    </xf>
    <xf numFmtId="0" fontId="0" fillId="9" borderId="12" xfId="0" applyFill="1" applyBorder="1" applyAlignment="1" applyProtection="1">
      <alignment vertical="center" wrapText="1"/>
      <protection locked="0"/>
    </xf>
    <xf numFmtId="0" fontId="17" fillId="9" borderId="1" xfId="0" applyFont="1" applyFill="1" applyBorder="1" applyAlignment="1">
      <alignment horizontal="left"/>
    </xf>
    <xf numFmtId="0" fontId="17" fillId="9" borderId="1" xfId="0" applyFont="1" applyFill="1" applyBorder="1" applyAlignment="1">
      <alignment horizontal="left" vertical="center"/>
    </xf>
    <xf numFmtId="0" fontId="16" fillId="14" borderId="11" xfId="0" applyFont="1" applyFill="1" applyBorder="1" applyAlignment="1">
      <alignment horizontal="left" vertical="center"/>
    </xf>
    <xf numFmtId="0" fontId="16" fillId="14" borderId="10" xfId="0" applyFont="1" applyFill="1" applyBorder="1" applyAlignment="1">
      <alignment horizontal="left" vertical="center"/>
    </xf>
    <xf numFmtId="0" fontId="0" fillId="9" borderId="10" xfId="0" applyFill="1" applyBorder="1" applyAlignment="1" applyProtection="1">
      <alignment vertical="center"/>
      <protection locked="0"/>
    </xf>
    <xf numFmtId="0" fontId="0" fillId="9" borderId="12" xfId="0" applyFill="1" applyBorder="1" applyAlignment="1" applyProtection="1">
      <alignment vertical="center"/>
      <protection locked="0"/>
    </xf>
    <xf numFmtId="0" fontId="2" fillId="14" borderId="1" xfId="0" applyFont="1" applyFill="1" applyBorder="1" applyAlignment="1">
      <alignment horizontal="left"/>
    </xf>
    <xf numFmtId="0" fontId="19" fillId="14" borderId="1" xfId="0" applyFont="1" applyFill="1" applyBorder="1" applyAlignment="1">
      <alignment horizontal="left" vertical="center" wrapText="1"/>
    </xf>
    <xf numFmtId="0" fontId="2" fillId="14" borderId="1" xfId="0" applyFont="1" applyFill="1" applyBorder="1" applyAlignment="1">
      <alignment horizontal="left" vertical="center"/>
    </xf>
    <xf numFmtId="0" fontId="0" fillId="14" borderId="11" xfId="0" applyFill="1" applyBorder="1" applyAlignment="1" applyProtection="1">
      <alignment vertical="center" wrapText="1"/>
      <protection locked="0"/>
    </xf>
    <xf numFmtId="0" fontId="0" fillId="14" borderId="12" xfId="0" applyFill="1" applyBorder="1" applyAlignment="1" applyProtection="1">
      <alignment vertical="center" wrapText="1"/>
      <protection locked="0"/>
    </xf>
    <xf numFmtId="0" fontId="7" fillId="4" borderId="11" xfId="0" applyFont="1" applyFill="1" applyBorder="1" applyAlignment="1" applyProtection="1">
      <alignment vertical="center"/>
      <protection locked="0"/>
    </xf>
    <xf numFmtId="0" fontId="7" fillId="4" borderId="12" xfId="0" applyFont="1" applyFill="1" applyBorder="1" applyAlignment="1" applyProtection="1">
      <alignment vertical="center"/>
      <protection locked="0"/>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39" fillId="4" borderId="11" xfId="0" applyFont="1" applyFill="1" applyBorder="1" applyAlignment="1">
      <alignment horizontal="center" vertical="center"/>
    </xf>
    <xf numFmtId="0" fontId="39" fillId="4" borderId="12" xfId="0" applyFont="1" applyFill="1" applyBorder="1" applyAlignment="1">
      <alignment horizontal="center" vertical="center"/>
    </xf>
    <xf numFmtId="0" fontId="7" fillId="4" borderId="11" xfId="0" applyFont="1" applyFill="1" applyBorder="1" applyAlignment="1" applyProtection="1">
      <alignment horizontal="left" vertical="center"/>
      <protection locked="0"/>
    </xf>
    <xf numFmtId="0" fontId="7" fillId="4" borderId="12" xfId="0" applyFont="1" applyFill="1" applyBorder="1" applyAlignment="1" applyProtection="1">
      <alignment horizontal="left" vertical="center"/>
      <protection locked="0"/>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16" fillId="3" borderId="11" xfId="0" applyFont="1" applyFill="1" applyBorder="1" applyAlignment="1">
      <alignment horizontal="left" vertical="center"/>
    </xf>
    <xf numFmtId="0" fontId="16" fillId="3" borderId="10" xfId="0" applyFont="1" applyFill="1" applyBorder="1" applyAlignment="1">
      <alignment horizontal="left" vertical="center"/>
    </xf>
    <xf numFmtId="0" fontId="0" fillId="4" borderId="10" xfId="0" applyFill="1" applyBorder="1" applyAlignment="1" applyProtection="1">
      <alignment vertical="center"/>
      <protection locked="0"/>
    </xf>
    <xf numFmtId="0" fontId="0" fillId="4" borderId="12" xfId="0" applyFill="1" applyBorder="1" applyAlignment="1" applyProtection="1">
      <alignment vertical="center"/>
      <protection locked="0"/>
    </xf>
    <xf numFmtId="0" fontId="49" fillId="10" borderId="11" xfId="0" applyFont="1" applyFill="1" applyBorder="1" applyAlignment="1">
      <alignment horizontal="center" vertical="center" wrapText="1"/>
    </xf>
    <xf numFmtId="0" fontId="49" fillId="10" borderId="12" xfId="0" applyFont="1" applyFill="1" applyBorder="1" applyAlignment="1">
      <alignment horizontal="center" vertical="center" wrapText="1"/>
    </xf>
    <xf numFmtId="0" fontId="3" fillId="10" borderId="11" xfId="0" applyFont="1" applyFill="1" applyBorder="1" applyAlignment="1">
      <alignment horizontal="center" vertical="center"/>
    </xf>
    <xf numFmtId="0" fontId="3" fillId="10" borderId="12" xfId="0" applyFont="1" applyFill="1" applyBorder="1" applyAlignment="1">
      <alignment horizontal="center" vertical="center"/>
    </xf>
    <xf numFmtId="0" fontId="2" fillId="3" borderId="1" xfId="0" applyFont="1" applyFill="1" applyBorder="1" applyAlignment="1">
      <alignment horizontal="left"/>
    </xf>
    <xf numFmtId="0" fontId="17" fillId="4" borderId="1" xfId="0" applyFont="1" applyFill="1" applyBorder="1" applyAlignment="1">
      <alignment horizontal="left" vertical="center"/>
    </xf>
    <xf numFmtId="0" fontId="2" fillId="3" borderId="1" xfId="0" applyFont="1" applyFill="1" applyBorder="1" applyAlignment="1">
      <alignment horizontal="left" vertical="center"/>
    </xf>
    <xf numFmtId="0" fontId="0" fillId="4" borderId="1" xfId="0" applyFill="1" applyBorder="1" applyAlignment="1">
      <alignment vertical="center"/>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2" fillId="3" borderId="1" xfId="0" applyFont="1" applyFill="1" applyBorder="1" applyAlignment="1">
      <alignment horizontal="center"/>
    </xf>
    <xf numFmtId="0" fontId="23" fillId="3" borderId="1" xfId="0" applyFont="1" applyFill="1" applyBorder="1" applyAlignment="1">
      <alignment horizontal="center"/>
    </xf>
    <xf numFmtId="0" fontId="22" fillId="3" borderId="1" xfId="0" applyFont="1" applyFill="1" applyBorder="1" applyAlignment="1">
      <alignment horizontal="center"/>
    </xf>
    <xf numFmtId="0" fontId="17" fillId="4" borderId="1" xfId="0" applyFont="1" applyFill="1" applyBorder="1" applyAlignment="1">
      <alignment horizontal="left"/>
    </xf>
    <xf numFmtId="0" fontId="19" fillId="3" borderId="1" xfId="0" applyFont="1" applyFill="1" applyBorder="1" applyAlignment="1">
      <alignment horizontal="left" vertical="center" wrapText="1"/>
    </xf>
    <xf numFmtId="0" fontId="12" fillId="12" borderId="17" xfId="0" applyFont="1" applyFill="1" applyBorder="1" applyAlignment="1">
      <alignment horizontal="center"/>
    </xf>
    <xf numFmtId="0" fontId="12" fillId="12" borderId="16" xfId="0" applyFont="1" applyFill="1" applyBorder="1" applyAlignment="1">
      <alignment horizontal="center"/>
    </xf>
    <xf numFmtId="0" fontId="12" fillId="12" borderId="15" xfId="0" applyFont="1" applyFill="1" applyBorder="1" applyAlignment="1">
      <alignment horizontal="center"/>
    </xf>
    <xf numFmtId="0" fontId="23" fillId="12" borderId="14" xfId="0" applyFont="1" applyFill="1" applyBorder="1" applyAlignment="1">
      <alignment horizontal="center"/>
    </xf>
    <xf numFmtId="0" fontId="23" fillId="12" borderId="0" xfId="0" applyFont="1" applyFill="1" applyAlignment="1">
      <alignment horizontal="center"/>
    </xf>
    <xf numFmtId="0" fontId="23" fillId="12" borderId="13" xfId="0" applyFont="1" applyFill="1" applyBorder="1" applyAlignment="1">
      <alignment horizontal="center"/>
    </xf>
    <xf numFmtId="0" fontId="22" fillId="12" borderId="9" xfId="0" applyFont="1" applyFill="1" applyBorder="1" applyAlignment="1">
      <alignment horizontal="center"/>
    </xf>
    <xf numFmtId="0" fontId="22" fillId="12" borderId="8" xfId="0" applyFont="1" applyFill="1" applyBorder="1" applyAlignment="1">
      <alignment horizontal="center"/>
    </xf>
    <xf numFmtId="0" fontId="22" fillId="12" borderId="7" xfId="0" applyFont="1" applyFill="1" applyBorder="1" applyAlignment="1">
      <alignment horizontal="center"/>
    </xf>
    <xf numFmtId="0" fontId="0" fillId="13" borderId="17" xfId="0" applyFill="1" applyBorder="1" applyAlignment="1" applyProtection="1">
      <alignment vertical="center"/>
      <protection locked="0"/>
    </xf>
    <xf numFmtId="0" fontId="0" fillId="13" borderId="16" xfId="0" applyFill="1" applyBorder="1" applyAlignment="1" applyProtection="1">
      <alignment vertical="center"/>
      <protection locked="0"/>
    </xf>
    <xf numFmtId="0" fontId="0" fillId="13" borderId="15" xfId="0" applyFill="1" applyBorder="1" applyAlignment="1" applyProtection="1">
      <alignment vertical="center"/>
      <protection locked="0"/>
    </xf>
    <xf numFmtId="0" fontId="0" fillId="13" borderId="9" xfId="0" applyFill="1" applyBorder="1" applyAlignment="1" applyProtection="1">
      <alignment vertical="center"/>
      <protection locked="0"/>
    </xf>
    <xf numFmtId="0" fontId="0" fillId="13" borderId="8" xfId="0" applyFill="1" applyBorder="1" applyAlignment="1" applyProtection="1">
      <alignment vertical="center"/>
      <protection locked="0"/>
    </xf>
    <xf numFmtId="0" fontId="0" fillId="13" borderId="7" xfId="0" applyFill="1" applyBorder="1" applyAlignment="1" applyProtection="1">
      <alignment vertical="center"/>
      <protection locked="0"/>
    </xf>
    <xf numFmtId="0" fontId="2" fillId="11" borderId="1" xfId="0" applyFont="1" applyFill="1" applyBorder="1" applyAlignment="1">
      <alignment horizontal="left"/>
    </xf>
    <xf numFmtId="0" fontId="17" fillId="13" borderId="1" xfId="0" applyFont="1" applyFill="1" applyBorder="1" applyAlignment="1" applyProtection="1">
      <alignment horizontal="left"/>
      <protection locked="0"/>
    </xf>
    <xf numFmtId="0" fontId="0" fillId="13" borderId="1" xfId="0" applyFill="1" applyBorder="1" applyProtection="1">
      <protection locked="0"/>
    </xf>
    <xf numFmtId="0" fontId="2" fillId="11" borderId="1" xfId="0" applyFont="1" applyFill="1" applyBorder="1" applyAlignment="1">
      <alignment horizontal="left" vertical="center"/>
    </xf>
    <xf numFmtId="0" fontId="88" fillId="10" borderId="10" xfId="0" applyFont="1" applyFill="1" applyBorder="1" applyAlignment="1">
      <alignment horizontal="left" vertical="center"/>
    </xf>
    <xf numFmtId="0" fontId="3" fillId="10" borderId="10" xfId="0" applyFont="1" applyFill="1" applyBorder="1" applyAlignment="1">
      <alignment horizontal="left" vertical="center"/>
    </xf>
    <xf numFmtId="0" fontId="46" fillId="5" borderId="11" xfId="0" applyFont="1" applyFill="1" applyBorder="1" applyAlignment="1">
      <alignment horizontal="left"/>
    </xf>
    <xf numFmtId="0" fontId="46" fillId="5" borderId="10" xfId="0" applyFont="1" applyFill="1" applyBorder="1" applyAlignment="1">
      <alignment horizontal="left"/>
    </xf>
    <xf numFmtId="0" fontId="3" fillId="5" borderId="11" xfId="0" applyFont="1" applyFill="1" applyBorder="1"/>
    <xf numFmtId="0" fontId="3" fillId="5" borderId="10" xfId="0" applyFont="1" applyFill="1" applyBorder="1"/>
    <xf numFmtId="0" fontId="40" fillId="4" borderId="11" xfId="0" applyFont="1" applyFill="1" applyBorder="1" applyAlignment="1" applyProtection="1">
      <alignment horizontal="left" vertical="center" wrapText="1"/>
      <protection locked="0"/>
    </xf>
    <xf numFmtId="0" fontId="40" fillId="4" borderId="10" xfId="0" applyFont="1" applyFill="1" applyBorder="1" applyAlignment="1" applyProtection="1">
      <alignment horizontal="left" vertical="center" wrapText="1"/>
      <protection locked="0"/>
    </xf>
    <xf numFmtId="0" fontId="40" fillId="4" borderId="12" xfId="0" applyFont="1" applyFill="1" applyBorder="1" applyAlignment="1" applyProtection="1">
      <alignment horizontal="left" vertical="center" wrapText="1"/>
      <protection locked="0"/>
    </xf>
    <xf numFmtId="0" fontId="17" fillId="13" borderId="1" xfId="0" applyFont="1" applyFill="1" applyBorder="1" applyAlignment="1" applyProtection="1">
      <alignment horizontal="left" vertical="center"/>
      <protection locked="0"/>
    </xf>
    <xf numFmtId="0" fontId="16" fillId="11" borderId="1" xfId="0" applyFont="1" applyFill="1" applyBorder="1" applyAlignment="1" applyProtection="1">
      <alignment horizontal="left" vertical="center" wrapText="1"/>
      <protection locked="0"/>
    </xf>
    <xf numFmtId="0" fontId="18" fillId="7" borderId="1" xfId="0" applyFont="1" applyFill="1" applyBorder="1" applyAlignment="1" applyProtection="1">
      <alignment horizontal="center" vertical="center" wrapText="1"/>
      <protection locked="0"/>
    </xf>
    <xf numFmtId="0" fontId="19" fillId="11" borderId="1" xfId="0" applyFont="1" applyFill="1" applyBorder="1" applyAlignment="1">
      <alignment horizontal="left" vertical="center" wrapText="1"/>
    </xf>
    <xf numFmtId="0" fontId="0" fillId="4" borderId="1" xfId="0" applyFill="1" applyBorder="1" applyAlignment="1">
      <alignment horizontal="center" vertical="center"/>
    </xf>
    <xf numFmtId="0" fontId="22" fillId="3" borderId="9" xfId="0" applyFont="1" applyFill="1" applyBorder="1" applyAlignment="1">
      <alignment horizontal="center"/>
    </xf>
    <xf numFmtId="0" fontId="22" fillId="3" borderId="8" xfId="0" applyFont="1" applyFill="1" applyBorder="1" applyAlignment="1">
      <alignment horizont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2" fillId="3" borderId="1" xfId="0" applyFont="1" applyFill="1" applyBorder="1" applyAlignment="1">
      <alignment horizontal="left"/>
    </xf>
    <xf numFmtId="0" fontId="45" fillId="3" borderId="11" xfId="0" applyFont="1" applyFill="1" applyBorder="1" applyAlignment="1" applyProtection="1">
      <alignment horizontal="left" vertical="center" wrapText="1"/>
      <protection locked="0"/>
    </xf>
    <xf numFmtId="0" fontId="45" fillId="3" borderId="10" xfId="0" applyFont="1" applyFill="1" applyBorder="1" applyAlignment="1" applyProtection="1">
      <alignment horizontal="left" vertical="center" wrapText="1"/>
      <protection locked="0"/>
    </xf>
    <xf numFmtId="0" fontId="45" fillId="3" borderId="12" xfId="0" applyFont="1" applyFill="1" applyBorder="1" applyAlignment="1" applyProtection="1">
      <alignment horizontal="left" vertical="center" wrapText="1"/>
      <protection locked="0"/>
    </xf>
    <xf numFmtId="0" fontId="16" fillId="3" borderId="12" xfId="0" applyFont="1" applyFill="1" applyBorder="1" applyAlignment="1">
      <alignment horizontal="left" vertical="center"/>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7" fillId="4" borderId="11" xfId="0" applyFont="1" applyFill="1" applyBorder="1" applyAlignment="1">
      <alignment horizontal="left" vertical="center"/>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34" fillId="3" borderId="4" xfId="0" applyFont="1" applyFill="1" applyBorder="1" applyAlignment="1">
      <alignment vertical="center" wrapText="1"/>
    </xf>
    <xf numFmtId="0" fontId="34" fillId="3" borderId="2" xfId="0" applyFont="1" applyFill="1" applyBorder="1" applyAlignment="1">
      <alignment vertical="center" wrapText="1"/>
    </xf>
    <xf numFmtId="0" fontId="34" fillId="2" borderId="4" xfId="0" applyFont="1" applyFill="1" applyBorder="1" applyAlignment="1">
      <alignment horizontal="center" vertical="center" textRotation="90" wrapText="1"/>
    </xf>
    <xf numFmtId="0" fontId="34" fillId="2" borderId="2" xfId="0" applyFont="1" applyFill="1" applyBorder="1" applyAlignment="1">
      <alignment horizontal="center" vertical="center" textRotation="90" wrapText="1"/>
    </xf>
    <xf numFmtId="0" fontId="36" fillId="2" borderId="4" xfId="0" applyFont="1" applyFill="1" applyBorder="1" applyAlignment="1">
      <alignment horizontal="center" vertical="center" textRotation="90" wrapText="1"/>
    </xf>
    <xf numFmtId="0" fontId="36" fillId="2" borderId="2" xfId="0" applyFont="1" applyFill="1" applyBorder="1" applyAlignment="1">
      <alignment horizontal="center" vertical="center" textRotation="90" wrapText="1"/>
    </xf>
    <xf numFmtId="0" fontId="37" fillId="2" borderId="4" xfId="0" applyFont="1" applyFill="1" applyBorder="1" applyAlignment="1">
      <alignment vertical="center" wrapText="1"/>
    </xf>
    <xf numFmtId="0" fontId="37" fillId="2" borderId="2" xfId="0" applyFont="1" applyFill="1" applyBorder="1" applyAlignment="1">
      <alignment vertical="center" wrapText="1"/>
    </xf>
    <xf numFmtId="0" fontId="34" fillId="3" borderId="4" xfId="0" applyFont="1" applyFill="1" applyBorder="1" applyAlignment="1">
      <alignment horizontal="center" vertical="center" textRotation="90" wrapText="1"/>
    </xf>
    <xf numFmtId="0" fontId="34" fillId="3" borderId="2" xfId="0" applyFont="1" applyFill="1" applyBorder="1" applyAlignment="1">
      <alignment horizontal="center" vertical="center" textRotation="90"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4" borderId="11" xfId="0" applyFill="1" applyBorder="1" applyAlignment="1" applyProtection="1">
      <alignment vertical="center"/>
      <protection locked="0"/>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5" borderId="14" xfId="0" applyFont="1" applyFill="1" applyBorder="1" applyAlignment="1">
      <alignment horizontal="left" vertical="center"/>
    </xf>
    <xf numFmtId="0" fontId="87" fillId="5" borderId="0" xfId="0" applyFont="1" applyFill="1" applyAlignment="1">
      <alignment horizontal="left" vertical="center"/>
    </xf>
    <xf numFmtId="0" fontId="8" fillId="2" borderId="4" xfId="0" applyFont="1" applyFill="1" applyBorder="1" applyAlignment="1">
      <alignment horizontal="center" vertical="center" textRotation="90" wrapText="1"/>
    </xf>
    <xf numFmtId="0" fontId="8" fillId="2" borderId="2" xfId="0" applyFont="1" applyFill="1" applyBorder="1" applyAlignment="1">
      <alignment horizontal="center" vertical="center" textRotation="90" wrapText="1"/>
    </xf>
    <xf numFmtId="0" fontId="18" fillId="7" borderId="11" xfId="0" applyFont="1" applyFill="1" applyBorder="1" applyAlignment="1" applyProtection="1">
      <alignment horizontal="center" vertical="center" wrapText="1"/>
      <protection locked="0"/>
    </xf>
    <xf numFmtId="0" fontId="18" fillId="7" borderId="10" xfId="0" applyFont="1" applyFill="1" applyBorder="1" applyAlignment="1" applyProtection="1">
      <alignment horizontal="center" vertical="center" wrapText="1"/>
      <protection locked="0"/>
    </xf>
    <xf numFmtId="0" fontId="18" fillId="7" borderId="12" xfId="0" applyFont="1" applyFill="1" applyBorder="1" applyAlignment="1" applyProtection="1">
      <alignment horizontal="center" vertical="center" wrapText="1"/>
      <protection locked="0"/>
    </xf>
    <xf numFmtId="0" fontId="25" fillId="3" borderId="19" xfId="0" applyFont="1" applyFill="1" applyBorder="1" applyAlignment="1">
      <alignment vertical="center" wrapText="1"/>
    </xf>
    <xf numFmtId="0" fontId="25" fillId="3" borderId="20" xfId="0" applyFont="1" applyFill="1" applyBorder="1" applyAlignment="1">
      <alignment vertical="center" wrapText="1"/>
    </xf>
    <xf numFmtId="0" fontId="29" fillId="3" borderId="21"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54" fillId="0" borderId="11" xfId="0" applyFont="1" applyBorder="1" applyAlignment="1">
      <alignment horizontal="right" vertical="center" wrapText="1"/>
    </xf>
    <xf numFmtId="0" fontId="54" fillId="0" borderId="10" xfId="0" applyFont="1" applyBorder="1" applyAlignment="1">
      <alignment horizontal="right" vertical="center" wrapText="1"/>
    </xf>
    <xf numFmtId="0" fontId="54" fillId="0" borderId="12" xfId="0" applyFont="1" applyBorder="1" applyAlignment="1">
      <alignment horizontal="right" vertical="center" wrapText="1"/>
    </xf>
    <xf numFmtId="0" fontId="23" fillId="27" borderId="11" xfId="0" applyFont="1" applyFill="1" applyBorder="1" applyAlignment="1">
      <alignment horizontal="left"/>
    </xf>
    <xf numFmtId="0" fontId="23" fillId="27" borderId="10" xfId="0" applyFont="1" applyFill="1" applyBorder="1" applyAlignment="1">
      <alignment horizontal="left"/>
    </xf>
    <xf numFmtId="0" fontId="22" fillId="30" borderId="11" xfId="0" applyFont="1" applyFill="1" applyBorder="1" applyAlignment="1">
      <alignment vertical="center" wrapText="1"/>
    </xf>
    <xf numFmtId="0" fontId="22" fillId="30" borderId="10" xfId="0" applyFont="1" applyFill="1" applyBorder="1" applyAlignment="1">
      <alignment vertical="center" wrapText="1"/>
    </xf>
    <xf numFmtId="0" fontId="23" fillId="29" borderId="11" xfId="0" applyFont="1" applyFill="1" applyBorder="1" applyAlignment="1">
      <alignment horizontal="left"/>
    </xf>
    <xf numFmtId="0" fontId="23" fillId="29" borderId="10" xfId="0" applyFont="1" applyFill="1" applyBorder="1" applyAlignment="1">
      <alignment horizontal="left"/>
    </xf>
    <xf numFmtId="0" fontId="22" fillId="19" borderId="11" xfId="0" applyFont="1" applyFill="1" applyBorder="1" applyAlignment="1">
      <alignment vertical="center" wrapText="1"/>
    </xf>
    <xf numFmtId="0" fontId="22" fillId="19" borderId="10" xfId="0" applyFont="1" applyFill="1" applyBorder="1" applyAlignment="1">
      <alignment vertical="center" wrapText="1"/>
    </xf>
    <xf numFmtId="0" fontId="23" fillId="16" borderId="11" xfId="0" applyFont="1" applyFill="1" applyBorder="1" applyAlignment="1">
      <alignment horizontal="left"/>
    </xf>
    <xf numFmtId="0" fontId="23" fillId="16" borderId="10" xfId="0" applyFont="1" applyFill="1" applyBorder="1" applyAlignment="1">
      <alignment horizontal="left"/>
    </xf>
    <xf numFmtId="0" fontId="54" fillId="27" borderId="11" xfId="0" applyFont="1" applyFill="1" applyBorder="1" applyAlignment="1">
      <alignment horizontal="right" vertical="center" wrapText="1"/>
    </xf>
    <xf numFmtId="0" fontId="54" fillId="27" borderId="10" xfId="0" applyFont="1" applyFill="1" applyBorder="1" applyAlignment="1">
      <alignment horizontal="righ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41" fontId="24" fillId="5" borderId="11" xfId="0" applyNumberFormat="1" applyFont="1" applyFill="1" applyBorder="1" applyAlignment="1">
      <alignment horizontal="center" vertical="center" wrapText="1"/>
    </xf>
    <xf numFmtId="41" fontId="24" fillId="5" borderId="12" xfId="0" applyNumberFormat="1" applyFont="1" applyFill="1" applyBorder="1" applyAlignment="1">
      <alignment horizontal="center" vertical="center" wrapText="1"/>
    </xf>
    <xf numFmtId="0" fontId="3" fillId="5" borderId="16" xfId="0" applyFont="1" applyFill="1" applyBorder="1"/>
    <xf numFmtId="41" fontId="66" fillId="5" borderId="11" xfId="0" applyNumberFormat="1" applyFont="1" applyFill="1" applyBorder="1" applyAlignment="1">
      <alignment horizontal="center" vertical="center" wrapText="1"/>
    </xf>
    <xf numFmtId="41" fontId="66" fillId="5" borderId="12" xfId="0" applyNumberFormat="1" applyFont="1" applyFill="1" applyBorder="1" applyAlignment="1">
      <alignment horizontal="center" vertical="center" wrapText="1"/>
    </xf>
    <xf numFmtId="0" fontId="23" fillId="16" borderId="11" xfId="0" applyFont="1" applyFill="1" applyBorder="1" applyAlignment="1">
      <alignment horizontal="center" vertical="center"/>
    </xf>
    <xf numFmtId="0" fontId="23" fillId="16" borderId="12" xfId="0" applyFont="1" applyFill="1" applyBorder="1" applyAlignment="1">
      <alignment horizontal="center" vertical="center"/>
    </xf>
    <xf numFmtId="0" fontId="23" fillId="18" borderId="11" xfId="0" applyFont="1" applyFill="1" applyBorder="1" applyAlignment="1">
      <alignment horizontal="left"/>
    </xf>
    <xf numFmtId="0" fontId="23" fillId="18" borderId="10" xfId="0" applyFont="1" applyFill="1" applyBorder="1" applyAlignment="1">
      <alignment horizontal="left"/>
    </xf>
    <xf numFmtId="0" fontId="22" fillId="17" borderId="11" xfId="0" applyFont="1" applyFill="1" applyBorder="1" applyAlignment="1">
      <alignment vertical="center" wrapText="1"/>
    </xf>
    <xf numFmtId="0" fontId="22" fillId="17" borderId="10" xfId="0" applyFont="1" applyFill="1" applyBorder="1" applyAlignment="1">
      <alignment vertical="center" wrapText="1"/>
    </xf>
    <xf numFmtId="41" fontId="61" fillId="5" borderId="11" xfId="0" applyNumberFormat="1" applyFont="1" applyFill="1" applyBorder="1" applyAlignment="1">
      <alignment horizontal="center" vertical="center" wrapText="1"/>
    </xf>
    <xf numFmtId="41" fontId="61" fillId="5" borderId="12" xfId="0" applyNumberFormat="1" applyFont="1" applyFill="1" applyBorder="1" applyAlignment="1">
      <alignment horizontal="center" vertical="center" wrapText="1"/>
    </xf>
    <xf numFmtId="41" fontId="0" fillId="19" borderId="11" xfId="0" applyNumberFormat="1" applyFill="1" applyBorder="1"/>
    <xf numFmtId="41" fontId="0" fillId="19" borderId="12" xfId="0" applyNumberFormat="1" applyFill="1" applyBorder="1"/>
    <xf numFmtId="41" fontId="55" fillId="5" borderId="11" xfId="0" applyNumberFormat="1" applyFont="1" applyFill="1" applyBorder="1"/>
    <xf numFmtId="41" fontId="55" fillId="5" borderId="12" xfId="0" applyNumberFormat="1" applyFont="1" applyFill="1" applyBorder="1"/>
    <xf numFmtId="0" fontId="22" fillId="24" borderId="11" xfId="0" applyFont="1" applyFill="1" applyBorder="1" applyAlignment="1">
      <alignment vertical="center" wrapText="1"/>
    </xf>
    <xf numFmtId="0" fontId="22" fillId="24" borderId="10" xfId="0" applyFont="1" applyFill="1" applyBorder="1" applyAlignment="1">
      <alignment vertical="center" wrapText="1"/>
    </xf>
    <xf numFmtId="0" fontId="23" fillId="23" borderId="11" xfId="0" applyFont="1" applyFill="1" applyBorder="1" applyAlignment="1">
      <alignment horizontal="left"/>
    </xf>
    <xf numFmtId="0" fontId="23" fillId="23" borderId="10" xfId="0" applyFont="1" applyFill="1" applyBorder="1" applyAlignment="1">
      <alignment horizontal="left"/>
    </xf>
    <xf numFmtId="0" fontId="42" fillId="15" borderId="11" xfId="0" applyFont="1" applyFill="1" applyBorder="1" applyAlignment="1">
      <alignment horizontal="right"/>
    </xf>
    <xf numFmtId="0" fontId="42" fillId="15" borderId="10" xfId="0" applyFont="1" applyFill="1" applyBorder="1" applyAlignment="1">
      <alignment horizontal="right"/>
    </xf>
    <xf numFmtId="0" fontId="54" fillId="25" borderId="11" xfId="0" applyFont="1" applyFill="1" applyBorder="1" applyAlignment="1">
      <alignment horizontal="right" vertical="center" wrapText="1"/>
    </xf>
    <xf numFmtId="0" fontId="54" fillId="25" borderId="10" xfId="0" applyFont="1" applyFill="1" applyBorder="1" applyAlignment="1">
      <alignment horizontal="right" vertical="center" wrapText="1"/>
    </xf>
    <xf numFmtId="41" fontId="58" fillId="5" borderId="11" xfId="0" applyNumberFormat="1" applyFont="1" applyFill="1" applyBorder="1" applyAlignment="1">
      <alignment horizontal="center" vertical="center" wrapText="1"/>
    </xf>
    <xf numFmtId="41" fontId="58" fillId="5" borderId="12" xfId="0" applyNumberFormat="1" applyFont="1" applyFill="1" applyBorder="1" applyAlignment="1">
      <alignment horizontal="center" vertical="center" wrapText="1"/>
    </xf>
    <xf numFmtId="0" fontId="22" fillId="28" borderId="11" xfId="0" applyFont="1" applyFill="1" applyBorder="1" applyAlignment="1">
      <alignment vertical="center" wrapText="1"/>
    </xf>
    <xf numFmtId="0" fontId="22" fillId="28" borderId="10" xfId="0" applyFont="1" applyFill="1" applyBorder="1" applyAlignment="1">
      <alignment vertical="center" wrapText="1"/>
    </xf>
    <xf numFmtId="0" fontId="54" fillId="20" borderId="11" xfId="0" applyFont="1" applyFill="1" applyBorder="1" applyAlignment="1">
      <alignment horizontal="right" vertical="center" wrapText="1"/>
    </xf>
    <xf numFmtId="0" fontId="54" fillId="20" borderId="10" xfId="0" applyFont="1" applyFill="1" applyBorder="1" applyAlignment="1">
      <alignment horizontal="right" vertical="center" wrapText="1"/>
    </xf>
    <xf numFmtId="0" fontId="22" fillId="21" borderId="11" xfId="0" applyFont="1" applyFill="1" applyBorder="1" applyAlignment="1">
      <alignment vertical="center" wrapText="1"/>
    </xf>
    <xf numFmtId="0" fontId="22" fillId="21" borderId="10" xfId="0" applyFont="1" applyFill="1" applyBorder="1" applyAlignment="1">
      <alignment vertical="center" wrapText="1"/>
    </xf>
    <xf numFmtId="0" fontId="22" fillId="9" borderId="11" xfId="0" applyFont="1" applyFill="1" applyBorder="1" applyAlignment="1">
      <alignment vertical="center" wrapText="1"/>
    </xf>
    <xf numFmtId="0" fontId="22" fillId="9" borderId="10" xfId="0" applyFont="1" applyFill="1" applyBorder="1" applyAlignment="1">
      <alignment vertical="center" wrapText="1"/>
    </xf>
    <xf numFmtId="0" fontId="23" fillId="15" borderId="11" xfId="0" applyFont="1" applyFill="1" applyBorder="1" applyAlignment="1">
      <alignment horizontal="left"/>
    </xf>
    <xf numFmtId="0" fontId="23" fillId="15" borderId="10" xfId="0" applyFont="1" applyFill="1" applyBorder="1" applyAlignment="1">
      <alignment horizontal="left"/>
    </xf>
    <xf numFmtId="41" fontId="55" fillId="5" borderId="11" xfId="0" applyNumberFormat="1" applyFont="1" applyFill="1" applyBorder="1" applyAlignment="1">
      <alignment horizontal="center" vertical="center"/>
    </xf>
    <xf numFmtId="41" fontId="55" fillId="5" borderId="12" xfId="0" applyNumberFormat="1" applyFont="1" applyFill="1" applyBorder="1" applyAlignment="1">
      <alignment horizontal="center" vertical="center"/>
    </xf>
    <xf numFmtId="0" fontId="23" fillId="20" borderId="11" xfId="0" applyFont="1" applyFill="1" applyBorder="1" applyAlignment="1">
      <alignment horizontal="left"/>
    </xf>
    <xf numFmtId="0" fontId="23" fillId="20" borderId="10" xfId="0" applyFont="1" applyFill="1" applyBorder="1" applyAlignment="1">
      <alignment horizontal="left"/>
    </xf>
    <xf numFmtId="41" fontId="64" fillId="2" borderId="11" xfId="0" applyNumberFormat="1" applyFont="1" applyFill="1" applyBorder="1"/>
    <xf numFmtId="41" fontId="64" fillId="2" borderId="10" xfId="0" applyNumberFormat="1" applyFont="1" applyFill="1" applyBorder="1"/>
    <xf numFmtId="41" fontId="64" fillId="2" borderId="12" xfId="0" applyNumberFormat="1" applyFont="1" applyFill="1" applyBorder="1"/>
    <xf numFmtId="0" fontId="81" fillId="26" borderId="11" xfId="0" applyFont="1" applyFill="1" applyBorder="1" applyAlignment="1">
      <alignment horizontal="left" vertical="center" wrapText="1"/>
    </xf>
    <xf numFmtId="0" fontId="81" fillId="26" borderId="10" xfId="0" applyFont="1" applyFill="1" applyBorder="1" applyAlignment="1">
      <alignment horizontal="left" vertical="center" wrapText="1"/>
    </xf>
    <xf numFmtId="41" fontId="0" fillId="4" borderId="11" xfId="0" applyNumberFormat="1" applyFill="1" applyBorder="1"/>
    <xf numFmtId="41" fontId="0" fillId="4" borderId="10" xfId="0" applyNumberFormat="1" applyFill="1" applyBorder="1"/>
    <xf numFmtId="41" fontId="0" fillId="4" borderId="12" xfId="0" applyNumberFormat="1" applyFill="1" applyBorder="1"/>
    <xf numFmtId="0" fontId="54" fillId="2" borderId="11" xfId="0" applyFont="1" applyFill="1" applyBorder="1" applyAlignment="1">
      <alignment horizontal="right" vertical="center" wrapText="1"/>
    </xf>
    <xf numFmtId="0" fontId="54" fillId="2" borderId="10" xfId="0" applyFont="1" applyFill="1" applyBorder="1" applyAlignment="1">
      <alignment horizontal="right" vertical="center" wrapText="1"/>
    </xf>
    <xf numFmtId="0" fontId="22" fillId="4" borderId="11" xfId="0" applyFont="1" applyFill="1" applyBorder="1" applyAlignment="1">
      <alignment vertical="center" wrapText="1"/>
    </xf>
    <xf numFmtId="0" fontId="22" fillId="4" borderId="10" xfId="0" applyFont="1" applyFill="1" applyBorder="1" applyAlignment="1">
      <alignment vertical="center" wrapText="1"/>
    </xf>
    <xf numFmtId="0" fontId="84" fillId="26" borderId="11" xfId="0" applyFont="1" applyFill="1" applyBorder="1" applyAlignment="1">
      <alignment horizontal="right" vertical="center" wrapText="1"/>
    </xf>
    <xf numFmtId="0" fontId="84" fillId="26" borderId="10" xfId="0" applyFont="1" applyFill="1" applyBorder="1" applyAlignment="1">
      <alignment horizontal="right" vertical="center" wrapText="1"/>
    </xf>
    <xf numFmtId="0" fontId="22" fillId="34" borderId="11" xfId="0" applyFont="1" applyFill="1" applyBorder="1" applyAlignment="1">
      <alignment vertical="center" wrapText="1"/>
    </xf>
    <xf numFmtId="0" fontId="22" fillId="34" borderId="10" xfId="0" applyFont="1" applyFill="1" applyBorder="1" applyAlignment="1">
      <alignment vertical="center" wrapText="1"/>
    </xf>
    <xf numFmtId="41" fontId="67" fillId="5" borderId="11" xfId="0" applyNumberFormat="1" applyFont="1" applyFill="1" applyBorder="1"/>
    <xf numFmtId="41" fontId="67" fillId="5" borderId="12" xfId="0" applyNumberFormat="1" applyFont="1" applyFill="1" applyBorder="1"/>
    <xf numFmtId="0" fontId="23" fillId="2" borderId="1" xfId="0" applyFont="1" applyFill="1" applyBorder="1" applyAlignment="1">
      <alignment horizontal="center" vertical="center"/>
    </xf>
    <xf numFmtId="41" fontId="64" fillId="23" borderId="11" xfId="0" applyNumberFormat="1" applyFont="1" applyFill="1" applyBorder="1"/>
    <xf numFmtId="41" fontId="64" fillId="23" borderId="10" xfId="0" applyNumberFormat="1" applyFont="1" applyFill="1" applyBorder="1"/>
    <xf numFmtId="41" fontId="64" fillId="23" borderId="12" xfId="0" applyNumberFormat="1" applyFont="1" applyFill="1" applyBorder="1"/>
    <xf numFmtId="0" fontId="23" fillId="2" borderId="11" xfId="0" applyFont="1" applyFill="1" applyBorder="1" applyAlignment="1">
      <alignment horizontal="center"/>
    </xf>
    <xf numFmtId="0" fontId="23" fillId="2" borderId="10" xfId="0" applyFont="1" applyFill="1" applyBorder="1" applyAlignment="1">
      <alignment horizontal="center"/>
    </xf>
    <xf numFmtId="0" fontId="54" fillId="23" borderId="11" xfId="0" applyFont="1" applyFill="1" applyBorder="1" applyAlignment="1">
      <alignment horizontal="right" vertical="center" wrapText="1"/>
    </xf>
    <xf numFmtId="0" fontId="54" fillId="23" borderId="10" xfId="0" applyFont="1" applyFill="1" applyBorder="1" applyAlignment="1">
      <alignment horizontal="right" vertical="center" wrapText="1"/>
    </xf>
    <xf numFmtId="41" fontId="0" fillId="24" borderId="11" xfId="0" applyNumberFormat="1" applyFill="1" applyBorder="1"/>
    <xf numFmtId="41" fontId="0" fillId="24" borderId="10" xfId="0" applyNumberFormat="1" applyFill="1" applyBorder="1"/>
    <xf numFmtId="41" fontId="0" fillId="24" borderId="12" xfId="0" applyNumberFormat="1" applyFill="1" applyBorder="1"/>
    <xf numFmtId="0" fontId="23" fillId="23" borderId="1" xfId="0" applyFont="1" applyFill="1" applyBorder="1" applyAlignment="1">
      <alignment horizontal="center" vertical="center"/>
    </xf>
    <xf numFmtId="0" fontId="23" fillId="23" borderId="11" xfId="0" applyFont="1" applyFill="1" applyBorder="1" applyAlignment="1">
      <alignment horizontal="center"/>
    </xf>
    <xf numFmtId="0" fontId="23" fillId="23" borderId="10" xfId="0" applyFont="1" applyFill="1" applyBorder="1" applyAlignment="1">
      <alignment horizontal="center"/>
    </xf>
    <xf numFmtId="41" fontId="64" fillId="20" borderId="11" xfId="0" applyNumberFormat="1" applyFont="1" applyFill="1" applyBorder="1" applyAlignment="1">
      <alignment horizontal="center" vertical="center"/>
    </xf>
    <xf numFmtId="41" fontId="64" fillId="20" borderId="10" xfId="0" applyNumberFormat="1" applyFont="1" applyFill="1" applyBorder="1" applyAlignment="1">
      <alignment horizontal="center" vertical="center"/>
    </xf>
    <xf numFmtId="41" fontId="64" fillId="20" borderId="12" xfId="0" applyNumberFormat="1" applyFont="1" applyFill="1" applyBorder="1" applyAlignment="1">
      <alignment horizontal="center" vertical="center"/>
    </xf>
    <xf numFmtId="41" fontId="1" fillId="21" borderId="11" xfId="0" applyNumberFormat="1" applyFont="1" applyFill="1" applyBorder="1"/>
    <xf numFmtId="41" fontId="1" fillId="21" borderId="10" xfId="0" applyNumberFormat="1" applyFont="1" applyFill="1" applyBorder="1"/>
    <xf numFmtId="41" fontId="1" fillId="21" borderId="12" xfId="0" applyNumberFormat="1" applyFont="1" applyFill="1" applyBorder="1"/>
    <xf numFmtId="0" fontId="0" fillId="22" borderId="11" xfId="0" applyFill="1" applyBorder="1"/>
    <xf numFmtId="0" fontId="0" fillId="22" borderId="10" xfId="0" applyFill="1" applyBorder="1"/>
    <xf numFmtId="0" fontId="0" fillId="22" borderId="12" xfId="0" applyFill="1" applyBorder="1"/>
    <xf numFmtId="41" fontId="1" fillId="21" borderId="11" xfId="0" applyNumberFormat="1" applyFont="1" applyFill="1" applyBorder="1" applyAlignment="1">
      <alignment horizontal="left" vertical="center"/>
    </xf>
    <xf numFmtId="41" fontId="1" fillId="21" borderId="10" xfId="0" applyNumberFormat="1" applyFont="1" applyFill="1" applyBorder="1" applyAlignment="1">
      <alignment horizontal="left" vertical="center"/>
    </xf>
    <xf numFmtId="41" fontId="1" fillId="21" borderId="12" xfId="0" applyNumberFormat="1" applyFont="1" applyFill="1" applyBorder="1" applyAlignment="1">
      <alignment horizontal="left" vertical="center"/>
    </xf>
    <xf numFmtId="0" fontId="23" fillId="20" borderId="1" xfId="0" applyFont="1" applyFill="1" applyBorder="1" applyAlignment="1">
      <alignment horizontal="center" vertical="center"/>
    </xf>
    <xf numFmtId="41" fontId="64" fillId="18" borderId="11" xfId="0" applyNumberFormat="1" applyFont="1" applyFill="1" applyBorder="1"/>
    <xf numFmtId="41" fontId="64" fillId="18" borderId="10" xfId="0" applyNumberFormat="1" applyFont="1" applyFill="1" applyBorder="1"/>
    <xf numFmtId="41" fontId="64" fillId="18" borderId="12" xfId="0" applyNumberFormat="1" applyFont="1" applyFill="1" applyBorder="1"/>
    <xf numFmtId="0" fontId="23" fillId="20" borderId="11" xfId="0" applyFont="1" applyFill="1" applyBorder="1" applyAlignment="1">
      <alignment horizontal="center"/>
    </xf>
    <xf numFmtId="0" fontId="23" fillId="20" borderId="10" xfId="0" applyFont="1" applyFill="1" applyBorder="1" applyAlignment="1">
      <alignment horizontal="center"/>
    </xf>
    <xf numFmtId="41" fontId="0" fillId="19" borderId="10" xfId="0" applyNumberFormat="1" applyFill="1" applyBorder="1"/>
    <xf numFmtId="0" fontId="54" fillId="18" borderId="11" xfId="0" applyFont="1" applyFill="1" applyBorder="1" applyAlignment="1">
      <alignment horizontal="right" vertical="center" wrapText="1"/>
    </xf>
    <xf numFmtId="0" fontId="54" fillId="18" borderId="10" xfId="0" applyFont="1" applyFill="1" applyBorder="1" applyAlignment="1">
      <alignment horizontal="right" vertical="center" wrapText="1"/>
    </xf>
    <xf numFmtId="0" fontId="23" fillId="18" borderId="1" xfId="0" applyFont="1" applyFill="1" applyBorder="1" applyAlignment="1">
      <alignment horizontal="center" vertical="center"/>
    </xf>
    <xf numFmtId="41" fontId="64" fillId="16" borderId="11" xfId="0" applyNumberFormat="1" applyFont="1" applyFill="1" applyBorder="1" applyAlignment="1">
      <alignment horizontal="center" vertical="center"/>
    </xf>
    <xf numFmtId="41" fontId="64" fillId="16" borderId="10" xfId="0" applyNumberFormat="1" applyFont="1" applyFill="1" applyBorder="1" applyAlignment="1">
      <alignment horizontal="center" vertical="center"/>
    </xf>
    <xf numFmtId="41" fontId="64" fillId="16" borderId="12" xfId="0" applyNumberFormat="1" applyFont="1" applyFill="1" applyBorder="1" applyAlignment="1">
      <alignment horizontal="center" vertical="center"/>
    </xf>
    <xf numFmtId="0" fontId="23" fillId="18" borderId="11" xfId="0" applyFont="1" applyFill="1" applyBorder="1" applyAlignment="1">
      <alignment horizontal="center"/>
    </xf>
    <xf numFmtId="0" fontId="23" fillId="18" borderId="10" xfId="0" applyFont="1" applyFill="1" applyBorder="1" applyAlignment="1">
      <alignment horizontal="center"/>
    </xf>
    <xf numFmtId="41" fontId="0" fillId="17" borderId="11" xfId="0" applyNumberFormat="1" applyFill="1" applyBorder="1" applyAlignment="1">
      <alignment horizontal="center" vertical="center"/>
    </xf>
    <xf numFmtId="41" fontId="0" fillId="17" borderId="10" xfId="0" applyNumberFormat="1" applyFill="1" applyBorder="1" applyAlignment="1">
      <alignment horizontal="center" vertical="center"/>
    </xf>
    <xf numFmtId="41" fontId="0" fillId="17" borderId="12" xfId="0" applyNumberFormat="1" applyFill="1" applyBorder="1" applyAlignment="1">
      <alignment horizontal="center" vertical="center"/>
    </xf>
    <xf numFmtId="0" fontId="54" fillId="16" borderId="11" xfId="0" applyFont="1" applyFill="1" applyBorder="1" applyAlignment="1">
      <alignment horizontal="right" vertical="center" wrapText="1"/>
    </xf>
    <xf numFmtId="0" fontId="54" fillId="16" borderId="10" xfId="0" applyFont="1" applyFill="1" applyBorder="1" applyAlignment="1">
      <alignment horizontal="right" vertical="center" wrapText="1"/>
    </xf>
    <xf numFmtId="0" fontId="23" fillId="16" borderId="1" xfId="0" applyFont="1" applyFill="1" applyBorder="1" applyAlignment="1">
      <alignment horizontal="center" vertical="center"/>
    </xf>
    <xf numFmtId="41" fontId="64" fillId="12" borderId="11" xfId="0" applyNumberFormat="1" applyFont="1" applyFill="1" applyBorder="1" applyAlignment="1">
      <alignment horizontal="center" vertical="center"/>
    </xf>
    <xf numFmtId="41" fontId="64" fillId="12" borderId="10" xfId="0" applyNumberFormat="1" applyFont="1" applyFill="1" applyBorder="1" applyAlignment="1">
      <alignment horizontal="center" vertical="center"/>
    </xf>
    <xf numFmtId="41" fontId="64" fillId="12" borderId="12" xfId="0" applyNumberFormat="1" applyFont="1" applyFill="1" applyBorder="1" applyAlignment="1">
      <alignment horizontal="center" vertical="center"/>
    </xf>
    <xf numFmtId="0" fontId="23" fillId="16" borderId="10" xfId="0" applyFont="1" applyFill="1" applyBorder="1" applyAlignment="1">
      <alignment horizontal="center" vertical="center"/>
    </xf>
    <xf numFmtId="41" fontId="65" fillId="13" borderId="11" xfId="0" applyNumberFormat="1" applyFont="1" applyFill="1" applyBorder="1" applyAlignment="1">
      <alignment horizontal="center" vertical="center"/>
    </xf>
    <xf numFmtId="41" fontId="65" fillId="13" borderId="10" xfId="0" applyNumberFormat="1" applyFont="1" applyFill="1" applyBorder="1" applyAlignment="1">
      <alignment horizontal="center" vertical="center"/>
    </xf>
    <xf numFmtId="41" fontId="65" fillId="13" borderId="12" xfId="0" applyNumberFormat="1" applyFont="1" applyFill="1" applyBorder="1" applyAlignment="1">
      <alignment horizontal="center" vertical="center"/>
    </xf>
    <xf numFmtId="0" fontId="54" fillId="12" borderId="11" xfId="0" applyFont="1" applyFill="1" applyBorder="1" applyAlignment="1">
      <alignment horizontal="right" vertical="center" wrapText="1"/>
    </xf>
    <xf numFmtId="0" fontId="54" fillId="12" borderId="10" xfId="0" applyFont="1" applyFill="1" applyBorder="1" applyAlignment="1">
      <alignment horizontal="right" vertical="center" wrapText="1"/>
    </xf>
    <xf numFmtId="0" fontId="22" fillId="13" borderId="11" xfId="0" applyFont="1" applyFill="1" applyBorder="1" applyAlignment="1">
      <alignment vertical="center" wrapText="1"/>
    </xf>
    <xf numFmtId="0" fontId="22" fillId="13" borderId="10" xfId="0" applyFont="1" applyFill="1" applyBorder="1" applyAlignment="1">
      <alignment vertical="center" wrapText="1"/>
    </xf>
    <xf numFmtId="0" fontId="23" fillId="11" borderId="11" xfId="0" applyFont="1" applyFill="1" applyBorder="1" applyAlignment="1">
      <alignment horizontal="center" vertical="center" wrapText="1"/>
    </xf>
    <xf numFmtId="0" fontId="23" fillId="11" borderId="10" xfId="0" applyFont="1" applyFill="1" applyBorder="1" applyAlignment="1">
      <alignment horizontal="center" vertical="center" wrapText="1"/>
    </xf>
    <xf numFmtId="0" fontId="23" fillId="11" borderId="12" xfId="0" applyFont="1" applyFill="1" applyBorder="1" applyAlignment="1">
      <alignment horizontal="center" vertical="center" wrapText="1"/>
    </xf>
    <xf numFmtId="41" fontId="62" fillId="14" borderId="11" xfId="0" applyNumberFormat="1" applyFont="1" applyFill="1" applyBorder="1" applyAlignment="1">
      <alignment horizontal="center" vertical="center"/>
    </xf>
    <xf numFmtId="41" fontId="62" fillId="14" borderId="10" xfId="0" applyNumberFormat="1" applyFont="1" applyFill="1" applyBorder="1" applyAlignment="1">
      <alignment horizontal="center" vertical="center"/>
    </xf>
    <xf numFmtId="41" fontId="62" fillId="14" borderId="12" xfId="0" applyNumberFormat="1"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0" xfId="0" applyFont="1" applyFill="1" applyBorder="1" applyAlignment="1">
      <alignment horizontal="center" vertical="center"/>
    </xf>
    <xf numFmtId="41" fontId="63" fillId="9" borderId="11" xfId="0" applyNumberFormat="1" applyFont="1" applyFill="1" applyBorder="1" applyAlignment="1">
      <alignment horizontal="center" vertical="center"/>
    </xf>
    <xf numFmtId="41" fontId="63" fillId="9" borderId="10" xfId="0" applyNumberFormat="1" applyFont="1" applyFill="1" applyBorder="1" applyAlignment="1">
      <alignment horizontal="center" vertical="center"/>
    </xf>
    <xf numFmtId="41" fontId="63" fillId="9" borderId="12" xfId="0" applyNumberFormat="1" applyFont="1" applyFill="1" applyBorder="1" applyAlignment="1">
      <alignment horizontal="center" vertical="center"/>
    </xf>
    <xf numFmtId="0" fontId="12" fillId="14" borderId="11" xfId="0" applyFont="1" applyFill="1" applyBorder="1" applyAlignment="1">
      <alignment horizontal="center" vertical="center"/>
    </xf>
    <xf numFmtId="0" fontId="12" fillId="14" borderId="10" xfId="0" applyFont="1" applyFill="1" applyBorder="1" applyAlignment="1">
      <alignment horizontal="center" vertical="center"/>
    </xf>
    <xf numFmtId="0" fontId="12" fillId="14" borderId="12" xfId="0" applyFont="1" applyFill="1" applyBorder="1" applyAlignment="1">
      <alignment horizontal="center" vertical="center"/>
    </xf>
    <xf numFmtId="0" fontId="23" fillId="9" borderId="11" xfId="0" applyFont="1" applyFill="1" applyBorder="1" applyAlignment="1">
      <alignment vertical="center" wrapText="1"/>
    </xf>
    <xf numFmtId="0" fontId="23" fillId="9" borderId="10" xfId="0" applyFont="1" applyFill="1" applyBorder="1" applyAlignment="1">
      <alignment vertical="center" wrapText="1"/>
    </xf>
    <xf numFmtId="0" fontId="23" fillId="9" borderId="12" xfId="0" applyFont="1" applyFill="1" applyBorder="1" applyAlignment="1">
      <alignment vertical="center" wrapText="1"/>
    </xf>
    <xf numFmtId="0" fontId="23" fillId="15" borderId="11"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3" fillId="15" borderId="12" xfId="0" applyFont="1" applyFill="1" applyBorder="1" applyAlignment="1">
      <alignment horizontal="center" vertical="center" wrapText="1"/>
    </xf>
    <xf numFmtId="0" fontId="0" fillId="0" borderId="8" xfId="0" applyBorder="1"/>
    <xf numFmtId="0" fontId="23" fillId="15" borderId="12" xfId="0" applyFont="1" applyFill="1" applyBorder="1" applyAlignment="1">
      <alignment horizontal="left"/>
    </xf>
    <xf numFmtId="41" fontId="53" fillId="5" borderId="11" xfId="0" applyNumberFormat="1" applyFont="1" applyFill="1" applyBorder="1"/>
    <xf numFmtId="41" fontId="53" fillId="5" borderId="12" xfId="0" applyNumberFormat="1" applyFont="1" applyFill="1" applyBorder="1"/>
    <xf numFmtId="0" fontId="71" fillId="5" borderId="16" xfId="0" applyFont="1" applyFill="1" applyBorder="1" applyAlignment="1">
      <alignment horizontal="left" vertical="center"/>
    </xf>
    <xf numFmtId="0" fontId="66" fillId="5" borderId="11" xfId="0" applyFont="1" applyFill="1" applyBorder="1" applyAlignment="1">
      <alignment horizontal="center" vertical="center" wrapText="1"/>
    </xf>
    <xf numFmtId="0" fontId="66" fillId="5" borderId="12" xfId="0" applyFont="1" applyFill="1" applyBorder="1" applyAlignment="1">
      <alignment horizontal="center" vertical="center" wrapText="1"/>
    </xf>
    <xf numFmtId="0" fontId="12" fillId="17" borderId="11" xfId="0" applyFont="1" applyFill="1" applyBorder="1" applyAlignment="1">
      <alignment vertical="center" wrapText="1"/>
    </xf>
    <xf numFmtId="0" fontId="12" fillId="17" borderId="10" xfId="0" applyFont="1" applyFill="1" applyBorder="1" applyAlignment="1">
      <alignment vertical="center" wrapText="1"/>
    </xf>
    <xf numFmtId="0" fontId="85" fillId="16" borderId="11" xfId="0" applyFont="1" applyFill="1" applyBorder="1" applyAlignment="1">
      <alignment horizontal="center" vertical="center"/>
    </xf>
    <xf numFmtId="0" fontId="85" fillId="16" borderId="10" xfId="0" applyFont="1" applyFill="1" applyBorder="1" applyAlignment="1">
      <alignment horizontal="center" vertical="center"/>
    </xf>
    <xf numFmtId="0" fontId="17" fillId="44" borderId="11" xfId="0" applyFont="1" applyFill="1" applyBorder="1" applyAlignment="1">
      <alignment horizontal="left"/>
    </xf>
    <xf numFmtId="0" fontId="17" fillId="44" borderId="10" xfId="0" applyFont="1" applyFill="1" applyBorder="1" applyAlignment="1">
      <alignment horizontal="left"/>
    </xf>
    <xf numFmtId="0" fontId="17" fillId="44" borderId="12" xfId="0" applyFont="1" applyFill="1" applyBorder="1" applyAlignment="1">
      <alignment horizontal="left"/>
    </xf>
    <xf numFmtId="0" fontId="17" fillId="44" borderId="11" xfId="0" applyFont="1" applyFill="1" applyBorder="1" applyAlignment="1">
      <alignment horizontal="left" vertical="center"/>
    </xf>
    <xf numFmtId="0" fontId="17" fillId="44" borderId="10" xfId="0" applyFont="1" applyFill="1" applyBorder="1" applyAlignment="1">
      <alignment horizontal="left" vertical="center"/>
    </xf>
    <xf numFmtId="0" fontId="17" fillId="44" borderId="12" xfId="0" applyFont="1" applyFill="1" applyBorder="1" applyAlignment="1">
      <alignment horizontal="left" vertical="center"/>
    </xf>
    <xf numFmtId="0" fontId="2" fillId="32" borderId="17" xfId="0" applyFont="1" applyFill="1" applyBorder="1" applyAlignment="1">
      <alignment horizontal="left" vertical="center"/>
    </xf>
    <xf numFmtId="0" fontId="2" fillId="32" borderId="16" xfId="0" applyFont="1" applyFill="1" applyBorder="1" applyAlignment="1">
      <alignment horizontal="left" vertical="center"/>
    </xf>
    <xf numFmtId="0" fontId="2" fillId="32" borderId="15" xfId="0" applyFont="1" applyFill="1" applyBorder="1" applyAlignment="1">
      <alignment horizontal="left" vertical="center"/>
    </xf>
    <xf numFmtId="0" fontId="2" fillId="32" borderId="9" xfId="0" applyFont="1" applyFill="1" applyBorder="1" applyAlignment="1">
      <alignment horizontal="left" vertical="center"/>
    </xf>
    <xf numFmtId="0" fontId="2" fillId="32" borderId="8" xfId="0" applyFont="1" applyFill="1" applyBorder="1" applyAlignment="1">
      <alignment horizontal="left" vertical="center"/>
    </xf>
    <xf numFmtId="0" fontId="2" fillId="32" borderId="7" xfId="0" applyFont="1" applyFill="1" applyBorder="1" applyAlignment="1">
      <alignment horizontal="left" vertical="center"/>
    </xf>
    <xf numFmtId="0" fontId="38" fillId="27" borderId="11" xfId="0" applyFont="1" applyFill="1" applyBorder="1" applyAlignment="1">
      <alignment horizontal="center" vertical="center"/>
    </xf>
    <xf numFmtId="0" fontId="38" fillId="27" borderId="12" xfId="0" applyFont="1" applyFill="1" applyBorder="1" applyAlignment="1">
      <alignment horizontal="center" vertical="center"/>
    </xf>
    <xf numFmtId="41" fontId="39" fillId="28" borderId="11" xfId="0" applyNumberFormat="1" applyFont="1" applyFill="1" applyBorder="1"/>
    <xf numFmtId="41" fontId="39" fillId="28" borderId="12" xfId="0" applyNumberFormat="1" applyFont="1" applyFill="1" applyBorder="1"/>
    <xf numFmtId="41" fontId="24" fillId="5" borderId="11" xfId="0" applyNumberFormat="1" applyFont="1" applyFill="1" applyBorder="1" applyAlignment="1">
      <alignment horizontal="right" vertical="center" wrapText="1"/>
    </xf>
    <xf numFmtId="41" fontId="24" fillId="5" borderId="12" xfId="0" applyNumberFormat="1" applyFont="1" applyFill="1" applyBorder="1" applyAlignment="1">
      <alignment horizontal="right" vertical="center" wrapText="1"/>
    </xf>
    <xf numFmtId="41" fontId="0" fillId="30" borderId="11" xfId="0" applyNumberFormat="1" applyFill="1" applyBorder="1"/>
    <xf numFmtId="41" fontId="0" fillId="30" borderId="12" xfId="0" applyNumberFormat="1" applyFill="1" applyBorder="1"/>
    <xf numFmtId="41" fontId="60" fillId="5" borderId="11" xfId="0" applyNumberFormat="1" applyFont="1" applyFill="1" applyBorder="1" applyAlignment="1">
      <alignment horizontal="center" vertical="center" wrapText="1"/>
    </xf>
    <xf numFmtId="41" fontId="60" fillId="5" borderId="12" xfId="0" applyNumberFormat="1" applyFont="1" applyFill="1" applyBorder="1" applyAlignment="1">
      <alignment horizontal="center" vertical="center" wrapText="1"/>
    </xf>
    <xf numFmtId="0" fontId="23" fillId="29" borderId="11" xfId="0" applyFont="1" applyFill="1" applyBorder="1" applyAlignment="1">
      <alignment horizontal="center" vertical="center"/>
    </xf>
    <xf numFmtId="0" fontId="23" fillId="29" borderId="12" xfId="0" applyFont="1" applyFill="1" applyBorder="1" applyAlignment="1">
      <alignment horizontal="center" vertical="center"/>
    </xf>
    <xf numFmtId="0" fontId="23" fillId="18" borderId="11" xfId="0" applyFont="1" applyFill="1" applyBorder="1" applyAlignment="1">
      <alignment horizontal="center" vertical="center"/>
    </xf>
    <xf numFmtId="0" fontId="23" fillId="18" borderId="12" xfId="0" applyFont="1" applyFill="1" applyBorder="1" applyAlignment="1">
      <alignment horizontal="center" vertical="center"/>
    </xf>
    <xf numFmtId="41" fontId="0" fillId="17" borderId="11" xfId="0" applyNumberFormat="1" applyFill="1" applyBorder="1"/>
    <xf numFmtId="41" fontId="0" fillId="17" borderId="12" xfId="0" applyNumberFormat="1" applyFill="1" applyBorder="1"/>
    <xf numFmtId="0" fontId="2" fillId="32" borderId="11" xfId="0" applyFont="1" applyFill="1" applyBorder="1" applyAlignment="1">
      <alignment horizontal="left"/>
    </xf>
    <xf numFmtId="0" fontId="2" fillId="32" borderId="10" xfId="0" applyFont="1" applyFill="1" applyBorder="1" applyAlignment="1">
      <alignment horizontal="left"/>
    </xf>
    <xf numFmtId="0" fontId="2" fillId="32" borderId="12" xfId="0" applyFont="1" applyFill="1" applyBorder="1" applyAlignment="1">
      <alignment horizontal="left"/>
    </xf>
    <xf numFmtId="0" fontId="0" fillId="44" borderId="11" xfId="0" applyFill="1" applyBorder="1"/>
    <xf numFmtId="0" fontId="0" fillId="44" borderId="10" xfId="0" applyFill="1" applyBorder="1"/>
    <xf numFmtId="0" fontId="0" fillId="44" borderId="12" xfId="0" applyFill="1" applyBorder="1"/>
    <xf numFmtId="0" fontId="12" fillId="32" borderId="11" xfId="0" applyFont="1" applyFill="1" applyBorder="1" applyAlignment="1">
      <alignment horizontal="left"/>
    </xf>
    <xf numFmtId="0" fontId="12" fillId="32" borderId="10" xfId="0" applyFont="1" applyFill="1" applyBorder="1" applyAlignment="1">
      <alignment horizontal="left"/>
    </xf>
    <xf numFmtId="0" fontId="12" fillId="32" borderId="12" xfId="0" applyFont="1" applyFill="1" applyBorder="1" applyAlignment="1">
      <alignment horizontal="left"/>
    </xf>
    <xf numFmtId="0" fontId="0" fillId="44" borderId="17" xfId="0" applyFill="1" applyBorder="1" applyAlignment="1">
      <alignment vertical="center"/>
    </xf>
    <xf numFmtId="0" fontId="0" fillId="44" borderId="16" xfId="0" applyFill="1" applyBorder="1" applyAlignment="1">
      <alignment vertical="center"/>
    </xf>
    <xf numFmtId="0" fontId="0" fillId="44" borderId="15" xfId="0" applyFill="1" applyBorder="1" applyAlignment="1">
      <alignment vertical="center"/>
    </xf>
    <xf numFmtId="0" fontId="0" fillId="44" borderId="9" xfId="0" applyFill="1" applyBorder="1" applyAlignment="1">
      <alignment vertical="center"/>
    </xf>
    <xf numFmtId="0" fontId="0" fillId="44" borderId="8" xfId="0" applyFill="1" applyBorder="1" applyAlignment="1">
      <alignment vertical="center"/>
    </xf>
    <xf numFmtId="0" fontId="0" fillId="44" borderId="7" xfId="0" applyFill="1" applyBorder="1" applyAlignment="1">
      <alignment vertical="center"/>
    </xf>
    <xf numFmtId="41" fontId="39" fillId="28" borderId="1" xfId="0" applyNumberFormat="1" applyFont="1" applyFill="1" applyBorder="1"/>
    <xf numFmtId="41" fontId="39" fillId="28" borderId="10" xfId="0" applyNumberFormat="1" applyFont="1" applyFill="1" applyBorder="1"/>
    <xf numFmtId="41" fontId="0" fillId="19" borderId="24" xfId="0" applyNumberFormat="1" applyFill="1" applyBorder="1" applyAlignment="1">
      <alignment vertical="center"/>
    </xf>
    <xf numFmtId="0" fontId="0" fillId="19" borderId="2" xfId="0" applyFill="1" applyBorder="1" applyAlignment="1">
      <alignment vertical="center"/>
    </xf>
    <xf numFmtId="0" fontId="23" fillId="18" borderId="17"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5" xfId="0" applyFont="1" applyFill="1" applyBorder="1" applyAlignment="1">
      <alignment horizontal="center" vertical="center"/>
    </xf>
    <xf numFmtId="0" fontId="23" fillId="29" borderId="1" xfId="0" applyFont="1" applyFill="1" applyBorder="1" applyAlignment="1">
      <alignment horizontal="center" vertical="center"/>
    </xf>
    <xf numFmtId="41" fontId="0" fillId="19" borderId="1" xfId="0" applyNumberFormat="1" applyFill="1" applyBorder="1"/>
    <xf numFmtId="0" fontId="23" fillId="29" borderId="17" xfId="0" applyFont="1" applyFill="1" applyBorder="1" applyAlignment="1">
      <alignment horizontal="center" vertical="center"/>
    </xf>
    <xf numFmtId="0" fontId="23" fillId="29" borderId="16" xfId="0" applyFont="1" applyFill="1" applyBorder="1" applyAlignment="1">
      <alignment horizontal="center" vertical="center"/>
    </xf>
    <xf numFmtId="0" fontId="23" fillId="29" borderId="15" xfId="0" applyFont="1" applyFill="1" applyBorder="1" applyAlignment="1">
      <alignment horizontal="center" vertical="center"/>
    </xf>
    <xf numFmtId="41" fontId="0" fillId="30" borderId="24" xfId="0" applyNumberFormat="1" applyFill="1" applyBorder="1" applyAlignment="1">
      <alignment horizontal="center" vertical="center"/>
    </xf>
    <xf numFmtId="0" fontId="0" fillId="30" borderId="2" xfId="0" applyFill="1" applyBorder="1" applyAlignment="1">
      <alignment horizontal="center" vertical="center"/>
    </xf>
    <xf numFmtId="0" fontId="38" fillId="27" borderId="1" xfId="0" applyFont="1" applyFill="1" applyBorder="1" applyAlignment="1">
      <alignment horizontal="center" vertical="center"/>
    </xf>
    <xf numFmtId="41" fontId="0" fillId="30" borderId="10" xfId="0" applyNumberFormat="1" applyFill="1" applyBorder="1"/>
    <xf numFmtId="0" fontId="18" fillId="7" borderId="11" xfId="0" applyFont="1" applyFill="1" applyBorder="1" applyAlignment="1">
      <alignment horizontal="center" vertical="center" wrapText="1"/>
    </xf>
    <xf numFmtId="0" fontId="18" fillId="7" borderId="10" xfId="0" applyFont="1" applyFill="1" applyBorder="1" applyAlignment="1">
      <alignment horizontal="center" vertical="center" wrapText="1"/>
    </xf>
    <xf numFmtId="0" fontId="17" fillId="33" borderId="1" xfId="0" applyFont="1" applyFill="1" applyBorder="1" applyAlignment="1">
      <alignment horizontal="left" vertical="center"/>
    </xf>
    <xf numFmtId="41" fontId="0" fillId="30" borderId="1" xfId="0" applyNumberFormat="1" applyFill="1" applyBorder="1"/>
    <xf numFmtId="41" fontId="0" fillId="17" borderId="1" xfId="0" applyNumberFormat="1" applyFill="1" applyBorder="1"/>
    <xf numFmtId="41" fontId="0" fillId="17" borderId="10" xfId="0" applyNumberFormat="1" applyFill="1" applyBorder="1"/>
    <xf numFmtId="0" fontId="23" fillId="16" borderId="17" xfId="0" applyFont="1" applyFill="1" applyBorder="1" applyAlignment="1">
      <alignment horizontal="center" vertical="center"/>
    </xf>
    <xf numFmtId="0" fontId="23" fillId="16" borderId="16" xfId="0" applyFont="1" applyFill="1" applyBorder="1" applyAlignment="1">
      <alignment horizontal="center" vertical="center"/>
    </xf>
    <xf numFmtId="0" fontId="23" fillId="16" borderId="15" xfId="0" applyFont="1" applyFill="1" applyBorder="1" applyAlignment="1">
      <alignment horizontal="center" vertical="center"/>
    </xf>
    <xf numFmtId="41" fontId="0" fillId="17" borderId="24" xfId="0" applyNumberFormat="1" applyFill="1" applyBorder="1" applyAlignment="1">
      <alignment horizontal="center" vertical="center"/>
    </xf>
    <xf numFmtId="0" fontId="0" fillId="17" borderId="2" xfId="0" applyFill="1" applyBorder="1" applyAlignment="1">
      <alignment horizontal="center" vertical="center"/>
    </xf>
    <xf numFmtId="41" fontId="69" fillId="27" borderId="11" xfId="0" applyNumberFormat="1" applyFont="1" applyFill="1" applyBorder="1"/>
    <xf numFmtId="41" fontId="69" fillId="27" borderId="10" xfId="0" applyNumberFormat="1" applyFont="1" applyFill="1" applyBorder="1"/>
    <xf numFmtId="41" fontId="69" fillId="27" borderId="12" xfId="0" applyNumberFormat="1" applyFont="1" applyFill="1" applyBorder="1"/>
    <xf numFmtId="41" fontId="59" fillId="27" borderId="11" xfId="0" applyNumberFormat="1" applyFont="1" applyFill="1" applyBorder="1"/>
    <xf numFmtId="41" fontId="59" fillId="27" borderId="12" xfId="0" applyNumberFormat="1" applyFont="1" applyFill="1" applyBorder="1"/>
    <xf numFmtId="41" fontId="69" fillId="25" borderId="11" xfId="0" applyNumberFormat="1" applyFont="1" applyFill="1" applyBorder="1"/>
    <xf numFmtId="41" fontId="69" fillId="25" borderId="10" xfId="0" applyNumberFormat="1" applyFont="1" applyFill="1" applyBorder="1"/>
    <xf numFmtId="41" fontId="69" fillId="25" borderId="12" xfId="0" applyNumberFormat="1" applyFont="1" applyFill="1" applyBorder="1"/>
    <xf numFmtId="41" fontId="59" fillId="25" borderId="11" xfId="0" applyNumberFormat="1" applyFont="1" applyFill="1" applyBorder="1"/>
    <xf numFmtId="41" fontId="59" fillId="25" borderId="12" xfId="0" applyNumberFormat="1" applyFont="1" applyFill="1" applyBorder="1"/>
    <xf numFmtId="41" fontId="39" fillId="24" borderId="1" xfId="0" applyNumberFormat="1" applyFont="1" applyFill="1" applyBorder="1"/>
    <xf numFmtId="41" fontId="39" fillId="24" borderId="11" xfId="0" applyNumberFormat="1" applyFont="1" applyFill="1" applyBorder="1"/>
    <xf numFmtId="41" fontId="39" fillId="24" borderId="10" xfId="0" applyNumberFormat="1" applyFont="1" applyFill="1" applyBorder="1"/>
    <xf numFmtId="41" fontId="39" fillId="24" borderId="12" xfId="0" applyNumberFormat="1" applyFont="1" applyFill="1" applyBorder="1"/>
    <xf numFmtId="0" fontId="38" fillId="23" borderId="1" xfId="0" applyFont="1" applyFill="1" applyBorder="1" applyAlignment="1">
      <alignment horizontal="center" vertical="center"/>
    </xf>
    <xf numFmtId="41" fontId="39" fillId="9" borderId="11" xfId="0" applyNumberFormat="1" applyFont="1" applyFill="1" applyBorder="1"/>
    <xf numFmtId="41" fontId="39" fillId="9" borderId="10" xfId="0" applyNumberFormat="1" applyFont="1" applyFill="1" applyBorder="1"/>
    <xf numFmtId="41" fontId="39" fillId="9" borderId="12" xfId="0" applyNumberFormat="1" applyFont="1" applyFill="1" applyBorder="1"/>
    <xf numFmtId="41" fontId="39" fillId="9" borderId="1" xfId="0" applyNumberFormat="1" applyFont="1" applyFill="1" applyBorder="1"/>
    <xf numFmtId="0" fontId="38" fillId="15" borderId="1" xfId="0" applyFont="1" applyFill="1" applyBorder="1" applyAlignment="1">
      <alignment horizontal="center" vertical="center"/>
    </xf>
    <xf numFmtId="0" fontId="23" fillId="27" borderId="1" xfId="0" applyFont="1" applyFill="1" applyBorder="1" applyAlignment="1">
      <alignment horizontal="center" vertical="center"/>
    </xf>
    <xf numFmtId="41" fontId="53" fillId="20" borderId="11" xfId="0" applyNumberFormat="1" applyFont="1" applyFill="1" applyBorder="1" applyAlignment="1">
      <alignment horizontal="center" vertical="center"/>
    </xf>
    <xf numFmtId="41" fontId="53" fillId="20" borderId="12" xfId="0" applyNumberFormat="1" applyFont="1" applyFill="1" applyBorder="1" applyAlignment="1">
      <alignment horizontal="center" vertical="center"/>
    </xf>
    <xf numFmtId="41" fontId="69" fillId="20" borderId="11" xfId="0" applyNumberFormat="1" applyFont="1" applyFill="1" applyBorder="1" applyAlignment="1">
      <alignment horizontal="center" vertical="center"/>
    </xf>
    <xf numFmtId="41" fontId="69" fillId="20" borderId="10" xfId="0" applyNumberFormat="1" applyFont="1" applyFill="1" applyBorder="1" applyAlignment="1">
      <alignment horizontal="center" vertical="center"/>
    </xf>
    <xf numFmtId="41" fontId="69" fillId="20" borderId="12" xfId="0" applyNumberFormat="1" applyFont="1" applyFill="1" applyBorder="1" applyAlignment="1">
      <alignment horizontal="center" vertical="center"/>
    </xf>
    <xf numFmtId="41" fontId="0" fillId="21" borderId="11" xfId="0" applyNumberFormat="1" applyFill="1" applyBorder="1"/>
    <xf numFmtId="41" fontId="0" fillId="21" borderId="10" xfId="0" applyNumberFormat="1" applyFill="1" applyBorder="1"/>
    <xf numFmtId="41" fontId="0" fillId="21" borderId="12" xfId="0" applyNumberFormat="1" applyFill="1" applyBorder="1"/>
    <xf numFmtId="41" fontId="0" fillId="21" borderId="1" xfId="0" applyNumberFormat="1" applyFill="1" applyBorder="1"/>
    <xf numFmtId="41" fontId="53" fillId="18" borderId="11" xfId="0" applyNumberFormat="1" applyFont="1" applyFill="1" applyBorder="1" applyAlignment="1">
      <alignment horizontal="center" vertical="center"/>
    </xf>
    <xf numFmtId="41" fontId="53" fillId="18" borderId="12" xfId="0" applyNumberFormat="1" applyFont="1" applyFill="1" applyBorder="1" applyAlignment="1">
      <alignment horizontal="center" vertical="center"/>
    </xf>
    <xf numFmtId="41" fontId="64" fillId="18" borderId="11" xfId="0" applyNumberFormat="1" applyFont="1" applyFill="1" applyBorder="1" applyAlignment="1">
      <alignment horizontal="center" vertical="center"/>
    </xf>
    <xf numFmtId="41" fontId="64" fillId="18" borderId="10" xfId="0" applyNumberFormat="1" applyFont="1" applyFill="1" applyBorder="1" applyAlignment="1">
      <alignment horizontal="center" vertical="center"/>
    </xf>
    <xf numFmtId="41" fontId="64" fillId="18" borderId="12" xfId="0" applyNumberFormat="1" applyFont="1" applyFill="1" applyBorder="1" applyAlignment="1">
      <alignment horizontal="center" vertical="center"/>
    </xf>
    <xf numFmtId="41" fontId="53" fillId="16" borderId="11" xfId="0" applyNumberFormat="1" applyFont="1" applyFill="1" applyBorder="1"/>
    <xf numFmtId="41" fontId="53" fillId="16" borderId="12" xfId="0" applyNumberFormat="1" applyFont="1" applyFill="1" applyBorder="1"/>
    <xf numFmtId="41" fontId="0" fillId="35" borderId="1" xfId="0" applyNumberFormat="1" applyFill="1" applyBorder="1" applyAlignment="1">
      <alignment vertical="center"/>
    </xf>
    <xf numFmtId="41" fontId="0" fillId="16" borderId="11" xfId="0" applyNumberFormat="1" applyFill="1" applyBorder="1"/>
    <xf numFmtId="41" fontId="0" fillId="16" borderId="10" xfId="0" applyNumberFormat="1" applyFill="1" applyBorder="1"/>
    <xf numFmtId="41" fontId="0" fillId="16" borderId="12" xfId="0" applyNumberFormat="1" applyFill="1" applyBorder="1"/>
    <xf numFmtId="41" fontId="0" fillId="35" borderId="11" xfId="0" applyNumberFormat="1" applyFill="1" applyBorder="1" applyAlignment="1">
      <alignment vertical="center"/>
    </xf>
    <xf numFmtId="41" fontId="0" fillId="35" borderId="12" xfId="0" applyNumberFormat="1" applyFill="1" applyBorder="1" applyAlignment="1">
      <alignment vertical="center"/>
    </xf>
    <xf numFmtId="41" fontId="68" fillId="16" borderId="11" xfId="0" applyNumberFormat="1" applyFont="1" applyFill="1" applyBorder="1"/>
    <xf numFmtId="41" fontId="68" fillId="16" borderId="10" xfId="0" applyNumberFormat="1" applyFont="1" applyFill="1" applyBorder="1"/>
    <xf numFmtId="41" fontId="68" fillId="16" borderId="12" xfId="0" applyNumberFormat="1" applyFont="1" applyFill="1" applyBorder="1"/>
    <xf numFmtId="41" fontId="53" fillId="26" borderId="11" xfId="0" applyNumberFormat="1" applyFont="1" applyFill="1" applyBorder="1"/>
    <xf numFmtId="41" fontId="53" fillId="26" borderId="10" xfId="0" applyNumberFormat="1" applyFont="1" applyFill="1" applyBorder="1"/>
    <xf numFmtId="41" fontId="53" fillId="26" borderId="12" xfId="0" applyNumberFormat="1" applyFont="1" applyFill="1" applyBorder="1"/>
    <xf numFmtId="0" fontId="23" fillId="16" borderId="11" xfId="0" applyFont="1" applyFill="1" applyBorder="1" applyAlignment="1">
      <alignment horizontal="center"/>
    </xf>
    <xf numFmtId="0" fontId="23" fillId="16" borderId="10" xfId="0" applyFont="1" applyFill="1" applyBorder="1" applyAlignment="1">
      <alignment horizontal="center"/>
    </xf>
    <xf numFmtId="41" fontId="0" fillId="17" borderId="1" xfId="0" applyNumberFormat="1" applyFill="1" applyBorder="1" applyAlignment="1">
      <alignment vertical="center"/>
    </xf>
    <xf numFmtId="41" fontId="0" fillId="17" borderId="11" xfId="0" applyNumberFormat="1" applyFill="1" applyBorder="1" applyAlignment="1">
      <alignment vertical="center"/>
    </xf>
    <xf numFmtId="41" fontId="0" fillId="17" borderId="10" xfId="0" applyNumberFormat="1" applyFill="1" applyBorder="1" applyAlignment="1">
      <alignment vertical="center"/>
    </xf>
    <xf numFmtId="41" fontId="0" fillId="17" borderId="12" xfId="0" applyNumberFormat="1" applyFill="1" applyBorder="1" applyAlignment="1">
      <alignment vertical="center"/>
    </xf>
    <xf numFmtId="0" fontId="54" fillId="26" borderId="11" xfId="0" applyFont="1" applyFill="1" applyBorder="1" applyAlignment="1">
      <alignment horizontal="right" vertical="center" wrapText="1"/>
    </xf>
    <xf numFmtId="0" fontId="54" fillId="26" borderId="10" xfId="0" applyFont="1" applyFill="1" applyBorder="1" applyAlignment="1">
      <alignment horizontal="right" vertical="center" wrapText="1"/>
    </xf>
    <xf numFmtId="41" fontId="0" fillId="34" borderId="1" xfId="0" applyNumberFormat="1" applyFill="1" applyBorder="1" applyAlignment="1">
      <alignment vertical="center"/>
    </xf>
    <xf numFmtId="41" fontId="0" fillId="34" borderId="11" xfId="0" applyNumberFormat="1" applyFill="1" applyBorder="1" applyAlignment="1">
      <alignment vertical="center"/>
    </xf>
    <xf numFmtId="41" fontId="0" fillId="34" borderId="10" xfId="0" applyNumberFormat="1" applyFill="1" applyBorder="1" applyAlignment="1">
      <alignment vertical="center"/>
    </xf>
    <xf numFmtId="41" fontId="0" fillId="34" borderId="12" xfId="0" applyNumberFormat="1" applyFill="1" applyBorder="1" applyAlignment="1">
      <alignment vertical="center"/>
    </xf>
    <xf numFmtId="0" fontId="23" fillId="26" borderId="1" xfId="0" applyFont="1" applyFill="1" applyBorder="1" applyAlignment="1">
      <alignment horizontal="center" vertical="center"/>
    </xf>
    <xf numFmtId="0" fontId="23" fillId="26" borderId="11" xfId="0" applyFont="1" applyFill="1" applyBorder="1" applyAlignment="1">
      <alignment horizontal="left" vertical="center" wrapText="1"/>
    </xf>
    <xf numFmtId="0" fontId="23" fillId="26" borderId="10" xfId="0" applyFont="1" applyFill="1" applyBorder="1" applyAlignment="1">
      <alignment horizontal="left" vertical="center" wrapText="1"/>
    </xf>
    <xf numFmtId="41" fontId="53" fillId="2" borderId="11" xfId="0" applyNumberFormat="1" applyFont="1" applyFill="1" applyBorder="1"/>
    <xf numFmtId="41" fontId="53" fillId="2" borderId="12" xfId="0" applyNumberFormat="1" applyFont="1" applyFill="1" applyBorder="1"/>
    <xf numFmtId="41" fontId="55" fillId="2" borderId="11" xfId="0" applyNumberFormat="1" applyFont="1" applyFill="1" applyBorder="1"/>
    <xf numFmtId="41" fontId="55" fillId="2" borderId="12" xfId="0" applyNumberFormat="1" applyFont="1" applyFill="1" applyBorder="1"/>
    <xf numFmtId="41" fontId="0" fillId="4" borderId="1" xfId="0" applyNumberFormat="1" applyFill="1" applyBorder="1"/>
    <xf numFmtId="41" fontId="24" fillId="4" borderId="11" xfId="0" applyNumberFormat="1" applyFont="1" applyFill="1" applyBorder="1" applyAlignment="1">
      <alignment vertical="center" wrapText="1"/>
    </xf>
    <xf numFmtId="41" fontId="24" fillId="4" borderId="12" xfId="0" applyNumberFormat="1" applyFont="1" applyFill="1" applyBorder="1" applyAlignment="1">
      <alignment vertical="center" wrapText="1"/>
    </xf>
    <xf numFmtId="0" fontId="23" fillId="2" borderId="1" xfId="0" applyFont="1" applyFill="1" applyBorder="1" applyAlignment="1">
      <alignment horizontal="center"/>
    </xf>
    <xf numFmtId="0" fontId="66" fillId="2" borderId="11" xfId="0" applyFont="1" applyFill="1" applyBorder="1" applyAlignment="1">
      <alignment horizontal="center" vertical="center" wrapText="1"/>
    </xf>
    <xf numFmtId="0" fontId="66" fillId="2" borderId="12" xfId="0" applyFont="1" applyFill="1" applyBorder="1" applyAlignment="1">
      <alignment horizontal="center" vertical="center" wrapText="1"/>
    </xf>
    <xf numFmtId="41" fontId="53" fillId="23" borderId="11" xfId="0" applyNumberFormat="1" applyFont="1" applyFill="1" applyBorder="1" applyAlignment="1">
      <alignment horizontal="center"/>
    </xf>
    <xf numFmtId="41" fontId="53" fillId="23" borderId="12" xfId="0" applyNumberFormat="1" applyFont="1" applyFill="1" applyBorder="1" applyAlignment="1">
      <alignment horizontal="center"/>
    </xf>
    <xf numFmtId="41" fontId="0" fillId="24" borderId="1" xfId="0" applyNumberFormat="1" applyFill="1" applyBorder="1"/>
    <xf numFmtId="41" fontId="67" fillId="23" borderId="11" xfId="0" applyNumberFormat="1" applyFont="1" applyFill="1" applyBorder="1" applyAlignment="1">
      <alignment horizontal="center"/>
    </xf>
    <xf numFmtId="41" fontId="67" fillId="23" borderId="12" xfId="0" applyNumberFormat="1" applyFont="1" applyFill="1" applyBorder="1" applyAlignment="1">
      <alignment horizontal="center"/>
    </xf>
    <xf numFmtId="41" fontId="24" fillId="24" borderId="11" xfId="0" applyNumberFormat="1" applyFont="1" applyFill="1" applyBorder="1" applyAlignment="1">
      <alignment vertical="center" wrapText="1"/>
    </xf>
    <xf numFmtId="41" fontId="24" fillId="24" borderId="12" xfId="0" applyNumberFormat="1" applyFont="1" applyFill="1" applyBorder="1" applyAlignment="1">
      <alignment vertical="center" wrapText="1"/>
    </xf>
    <xf numFmtId="0" fontId="66" fillId="23" borderId="11" xfId="0" applyFont="1" applyFill="1" applyBorder="1" applyAlignment="1">
      <alignment horizontal="center" vertical="center" wrapText="1"/>
    </xf>
    <xf numFmtId="0" fontId="66" fillId="23" borderId="12" xfId="0" applyFont="1" applyFill="1" applyBorder="1" applyAlignment="1">
      <alignment horizontal="center" vertical="center" wrapText="1"/>
    </xf>
    <xf numFmtId="41" fontId="1" fillId="21" borderId="1" xfId="0" applyNumberFormat="1" applyFont="1" applyFill="1" applyBorder="1"/>
    <xf numFmtId="41" fontId="67" fillId="20" borderId="11" xfId="0" applyNumberFormat="1" applyFont="1" applyFill="1" applyBorder="1" applyAlignment="1">
      <alignment horizontal="center" vertical="center"/>
    </xf>
    <xf numFmtId="41" fontId="67" fillId="20" borderId="12" xfId="0" applyNumberFormat="1" applyFont="1" applyFill="1" applyBorder="1" applyAlignment="1">
      <alignment horizontal="center" vertical="center"/>
    </xf>
    <xf numFmtId="41" fontId="50" fillId="21" borderId="11" xfId="0" applyNumberFormat="1" applyFont="1" applyFill="1" applyBorder="1" applyAlignment="1">
      <alignment vertical="center" wrapText="1"/>
    </xf>
    <xf numFmtId="41" fontId="50" fillId="21" borderId="12" xfId="0" applyNumberFormat="1" applyFont="1" applyFill="1" applyBorder="1" applyAlignment="1">
      <alignment vertical="center" wrapText="1"/>
    </xf>
    <xf numFmtId="41" fontId="53" fillId="18" borderId="11" xfId="0" applyNumberFormat="1" applyFont="1" applyFill="1" applyBorder="1"/>
    <xf numFmtId="41" fontId="53" fillId="18" borderId="12" xfId="0" applyNumberFormat="1" applyFont="1" applyFill="1" applyBorder="1"/>
    <xf numFmtId="0" fontId="51" fillId="20" borderId="11" xfId="0" applyFont="1" applyFill="1" applyBorder="1" applyAlignment="1">
      <alignment horizontal="center" vertical="center" wrapText="1"/>
    </xf>
    <xf numFmtId="0" fontId="51" fillId="20" borderId="12" xfId="0" applyFont="1" applyFill="1" applyBorder="1" applyAlignment="1">
      <alignment horizontal="center" vertical="center" wrapText="1"/>
    </xf>
    <xf numFmtId="41" fontId="55" fillId="18" borderId="11" xfId="0" applyNumberFormat="1" applyFont="1" applyFill="1" applyBorder="1"/>
    <xf numFmtId="41" fontId="55" fillId="18" borderId="12" xfId="0" applyNumberFormat="1" applyFont="1" applyFill="1" applyBorder="1"/>
    <xf numFmtId="41" fontId="24" fillId="19" borderId="11" xfId="0" applyNumberFormat="1" applyFont="1" applyFill="1" applyBorder="1" applyAlignment="1">
      <alignment vertical="center" wrapText="1"/>
    </xf>
    <xf numFmtId="41" fontId="24" fillId="19" borderId="12" xfId="0" applyNumberFormat="1" applyFont="1" applyFill="1" applyBorder="1" applyAlignment="1">
      <alignment vertical="center" wrapText="1"/>
    </xf>
    <xf numFmtId="41" fontId="53" fillId="16" borderId="11" xfId="0" applyNumberFormat="1" applyFont="1" applyFill="1" applyBorder="1" applyAlignment="1">
      <alignment horizontal="center" vertical="center"/>
    </xf>
    <xf numFmtId="41" fontId="53" fillId="16" borderId="12" xfId="0" applyNumberFormat="1" applyFont="1" applyFill="1" applyBorder="1" applyAlignment="1">
      <alignment horizontal="center" vertical="center"/>
    </xf>
    <xf numFmtId="0" fontId="51" fillId="18" borderId="11" xfId="0" applyFont="1" applyFill="1" applyBorder="1" applyAlignment="1">
      <alignment horizontal="center" vertical="center" wrapText="1"/>
    </xf>
    <xf numFmtId="0" fontId="51" fillId="18" borderId="12" xfId="0" applyFont="1" applyFill="1" applyBorder="1" applyAlignment="1">
      <alignment horizontal="center" vertical="center" wrapText="1"/>
    </xf>
    <xf numFmtId="41" fontId="55" fillId="16" borderId="11" xfId="0" applyNumberFormat="1" applyFont="1" applyFill="1" applyBorder="1" applyAlignment="1">
      <alignment horizontal="center" vertical="center"/>
    </xf>
    <xf numFmtId="41" fontId="55" fillId="16" borderId="12" xfId="0" applyNumberFormat="1" applyFont="1" applyFill="1" applyBorder="1" applyAlignment="1">
      <alignment horizontal="center" vertical="center"/>
    </xf>
    <xf numFmtId="41" fontId="0" fillId="17" borderId="1" xfId="0" applyNumberFormat="1" applyFill="1" applyBorder="1" applyAlignment="1">
      <alignment horizontal="center" vertical="center"/>
    </xf>
    <xf numFmtId="41" fontId="24" fillId="17" borderId="11" xfId="0" applyNumberFormat="1" applyFont="1" applyFill="1" applyBorder="1" applyAlignment="1">
      <alignment wrapText="1"/>
    </xf>
    <xf numFmtId="41" fontId="24" fillId="17" borderId="12" xfId="0" applyNumberFormat="1" applyFont="1" applyFill="1" applyBorder="1" applyAlignment="1">
      <alignment wrapText="1"/>
    </xf>
    <xf numFmtId="41" fontId="53" fillId="12" borderId="11" xfId="0" applyNumberFormat="1" applyFont="1" applyFill="1" applyBorder="1" applyAlignment="1">
      <alignment horizontal="center" vertical="center"/>
    </xf>
    <xf numFmtId="41" fontId="53" fillId="12" borderId="12" xfId="0" applyNumberFormat="1" applyFont="1" applyFill="1" applyBorder="1" applyAlignment="1">
      <alignment horizontal="center" vertical="center"/>
    </xf>
    <xf numFmtId="0" fontId="51" fillId="16" borderId="11" xfId="0" applyFont="1" applyFill="1" applyBorder="1" applyAlignment="1">
      <alignment horizontal="center" vertical="center" wrapText="1"/>
    </xf>
    <xf numFmtId="0" fontId="51" fillId="16" borderId="12" xfId="0" applyFont="1" applyFill="1" applyBorder="1" applyAlignment="1">
      <alignment horizontal="center" vertical="center" wrapText="1"/>
    </xf>
    <xf numFmtId="41" fontId="55" fillId="12" borderId="11" xfId="0" applyNumberFormat="1" applyFont="1" applyFill="1" applyBorder="1" applyAlignment="1">
      <alignment horizontal="center" vertical="center"/>
    </xf>
    <xf numFmtId="41" fontId="55" fillId="12" borderId="12" xfId="0" applyNumberFormat="1" applyFont="1" applyFill="1" applyBorder="1" applyAlignment="1">
      <alignment horizontal="center" vertical="center"/>
    </xf>
    <xf numFmtId="41" fontId="0" fillId="13" borderId="1" xfId="0" applyNumberFormat="1" applyFill="1" applyBorder="1" applyAlignment="1">
      <alignment horizontal="center" vertical="center"/>
    </xf>
    <xf numFmtId="0" fontId="24" fillId="13" borderId="11" xfId="0" applyFont="1" applyFill="1" applyBorder="1" applyAlignment="1">
      <alignment vertical="center" wrapText="1"/>
    </xf>
    <xf numFmtId="0" fontId="24" fillId="13" borderId="12" xfId="0" applyFont="1" applyFill="1" applyBorder="1" applyAlignment="1">
      <alignment vertical="center" wrapText="1"/>
    </xf>
    <xf numFmtId="0" fontId="23" fillId="11" borderId="1" xfId="0" applyFont="1" applyFill="1" applyBorder="1" applyAlignment="1">
      <alignment horizontal="center" vertical="center"/>
    </xf>
    <xf numFmtId="41" fontId="53" fillId="14" borderId="11" xfId="0" applyNumberFormat="1" applyFont="1" applyFill="1" applyBorder="1" applyAlignment="1">
      <alignment horizontal="center" vertical="center"/>
    </xf>
    <xf numFmtId="41" fontId="53" fillId="14" borderId="12" xfId="0" applyNumberFormat="1" applyFont="1" applyFill="1" applyBorder="1" applyAlignment="1">
      <alignment horizontal="center" vertical="center"/>
    </xf>
    <xf numFmtId="0" fontId="51" fillId="11" borderId="11" xfId="0" applyFont="1" applyFill="1" applyBorder="1" applyAlignment="1">
      <alignment horizontal="center" vertical="center" wrapText="1"/>
    </xf>
    <xf numFmtId="0" fontId="51" fillId="11" borderId="12" xfId="0" applyFont="1" applyFill="1" applyBorder="1" applyAlignment="1">
      <alignment horizontal="center" vertical="center" wrapText="1"/>
    </xf>
    <xf numFmtId="41" fontId="51" fillId="14" borderId="11" xfId="0" applyNumberFormat="1" applyFont="1" applyFill="1" applyBorder="1" applyAlignment="1">
      <alignment horizontal="center" vertical="center"/>
    </xf>
    <xf numFmtId="41" fontId="51" fillId="14" borderId="12" xfId="0" applyNumberFormat="1" applyFont="1" applyFill="1" applyBorder="1" applyAlignment="1">
      <alignment horizontal="center" vertical="center"/>
    </xf>
    <xf numFmtId="41" fontId="51" fillId="9" borderId="11" xfId="0" applyNumberFormat="1" applyFont="1" applyFill="1" applyBorder="1" applyAlignment="1">
      <alignment horizontal="left"/>
    </xf>
    <xf numFmtId="41" fontId="51" fillId="9" borderId="12" xfId="0" applyNumberFormat="1" applyFont="1" applyFill="1" applyBorder="1" applyAlignment="1">
      <alignment horizontal="left"/>
    </xf>
    <xf numFmtId="41" fontId="0" fillId="9" borderId="11" xfId="0" applyNumberFormat="1" applyFill="1" applyBorder="1" applyAlignment="1">
      <alignment horizontal="center" vertical="center"/>
    </xf>
    <xf numFmtId="41" fontId="0" fillId="9" borderId="12" xfId="0" applyNumberFormat="1" applyFill="1" applyBorder="1" applyAlignment="1">
      <alignment horizontal="center" vertical="center"/>
    </xf>
    <xf numFmtId="41" fontId="0" fillId="9" borderId="1" xfId="0" applyNumberFormat="1" applyFill="1" applyBorder="1" applyAlignment="1">
      <alignment horizontal="center" vertical="center"/>
    </xf>
    <xf numFmtId="0" fontId="2" fillId="32" borderId="1" xfId="0" applyFont="1" applyFill="1" applyBorder="1" applyAlignment="1">
      <alignment horizontal="left"/>
    </xf>
    <xf numFmtId="0" fontId="0" fillId="33" borderId="1" xfId="0" applyFill="1" applyBorder="1"/>
    <xf numFmtId="0" fontId="0" fillId="33" borderId="11" xfId="0" applyFill="1" applyBorder="1"/>
    <xf numFmtId="0" fontId="2" fillId="33" borderId="1" xfId="0" applyFont="1" applyFill="1" applyBorder="1" applyAlignment="1">
      <alignment horizontal="left" vertical="center"/>
    </xf>
    <xf numFmtId="0" fontId="0" fillId="33" borderId="1" xfId="0" applyFill="1" applyBorder="1" applyAlignment="1">
      <alignment vertical="center"/>
    </xf>
    <xf numFmtId="0" fontId="0" fillId="33" borderId="11" xfId="0" applyFill="1" applyBorder="1" applyAlignment="1">
      <alignment vertical="center"/>
    </xf>
    <xf numFmtId="0" fontId="12" fillId="32" borderId="1" xfId="0" applyFont="1" applyFill="1" applyBorder="1" applyAlignment="1">
      <alignment horizontal="left"/>
    </xf>
    <xf numFmtId="41" fontId="2" fillId="9" borderId="11" xfId="0" applyNumberFormat="1" applyFont="1" applyFill="1" applyBorder="1" applyAlignment="1">
      <alignment horizontal="center" vertical="center"/>
    </xf>
    <xf numFmtId="41" fontId="2" fillId="9" borderId="12" xfId="0" applyNumberFormat="1" applyFont="1" applyFill="1" applyBorder="1" applyAlignment="1">
      <alignment horizontal="center" vertical="center"/>
    </xf>
    <xf numFmtId="41" fontId="51" fillId="9" borderId="11" xfId="0" applyNumberFormat="1" applyFont="1" applyFill="1" applyBorder="1" applyAlignment="1">
      <alignment vertical="center" wrapText="1"/>
    </xf>
    <xf numFmtId="41" fontId="51" fillId="9" borderId="12" xfId="0" applyNumberFormat="1" applyFont="1" applyFill="1" applyBorder="1" applyAlignment="1">
      <alignment vertical="center" wrapText="1"/>
    </xf>
    <xf numFmtId="0" fontId="23" fillId="15" borderId="1" xfId="0" applyFont="1" applyFill="1" applyBorder="1" applyAlignment="1">
      <alignment horizontal="center" vertical="center"/>
    </xf>
    <xf numFmtId="0" fontId="20" fillId="9" borderId="11" xfId="0" applyFont="1" applyFill="1" applyBorder="1" applyAlignment="1">
      <alignment horizontal="left"/>
    </xf>
    <xf numFmtId="0" fontId="20" fillId="9" borderId="10" xfId="0" applyFont="1" applyFill="1" applyBorder="1" applyAlignment="1">
      <alignment horizontal="left"/>
    </xf>
    <xf numFmtId="0" fontId="20" fillId="9" borderId="12" xfId="0" applyFont="1" applyFill="1" applyBorder="1" applyAlignment="1">
      <alignment horizontal="left"/>
    </xf>
    <xf numFmtId="41" fontId="52" fillId="9" borderId="11" xfId="0" applyNumberFormat="1" applyFont="1" applyFill="1" applyBorder="1"/>
    <xf numFmtId="41" fontId="52" fillId="9" borderId="12" xfId="0" applyNumberFormat="1" applyFont="1" applyFill="1" applyBorder="1"/>
    <xf numFmtId="0" fontId="23" fillId="26" borderId="9" xfId="0" applyFont="1" applyFill="1" applyBorder="1" applyAlignment="1">
      <alignment horizontal="center" vertical="center"/>
    </xf>
    <xf numFmtId="0" fontId="23" fillId="26" borderId="8" xfId="0" applyFont="1" applyFill="1" applyBorder="1" applyAlignment="1">
      <alignment horizontal="center" vertical="center"/>
    </xf>
    <xf numFmtId="0" fontId="50" fillId="5" borderId="17" xfId="0" applyFont="1" applyFill="1" applyBorder="1" applyAlignment="1">
      <alignment horizontal="left"/>
    </xf>
    <xf numFmtId="0" fontId="50" fillId="5" borderId="16" xfId="0" applyFont="1" applyFill="1" applyBorder="1" applyAlignment="1">
      <alignment horizontal="left"/>
    </xf>
    <xf numFmtId="0" fontId="70" fillId="5" borderId="0" xfId="0" applyFont="1" applyFill="1" applyAlignment="1">
      <alignment vertical="center"/>
    </xf>
    <xf numFmtId="0" fontId="51" fillId="15" borderId="11" xfId="0" applyFont="1" applyFill="1" applyBorder="1" applyAlignment="1">
      <alignment horizontal="center" vertical="center" wrapText="1"/>
    </xf>
    <xf numFmtId="0" fontId="51" fillId="15" borderId="12" xfId="0" applyFont="1" applyFill="1" applyBorder="1" applyAlignment="1">
      <alignment horizontal="center" vertical="center" wrapText="1"/>
    </xf>
    <xf numFmtId="0" fontId="23" fillId="15" borderId="11" xfId="0" applyFont="1" applyFill="1" applyBorder="1" applyAlignment="1">
      <alignment horizontal="center" vertical="center"/>
    </xf>
    <xf numFmtId="0" fontId="23" fillId="15" borderId="12" xfId="0" applyFont="1" applyFill="1" applyBorder="1" applyAlignment="1">
      <alignment horizontal="center" vertical="center"/>
    </xf>
    <xf numFmtId="41" fontId="63" fillId="34" borderId="1" xfId="0" applyNumberFormat="1" applyFont="1" applyFill="1" applyBorder="1" applyAlignment="1">
      <alignment horizontal="center" vertical="center"/>
    </xf>
    <xf numFmtId="0" fontId="63" fillId="34" borderId="1" xfId="0" applyFont="1" applyFill="1" applyBorder="1" applyAlignment="1">
      <alignment horizontal="center" vertical="center"/>
    </xf>
    <xf numFmtId="41" fontId="63" fillId="17" borderId="1" xfId="0" applyNumberFormat="1" applyFont="1" applyFill="1" applyBorder="1" applyAlignment="1">
      <alignment horizontal="center" vertical="center"/>
    </xf>
    <xf numFmtId="0" fontId="63" fillId="17" borderId="1" xfId="0" applyFont="1" applyFill="1" applyBorder="1" applyAlignment="1">
      <alignment horizontal="center" vertical="center"/>
    </xf>
    <xf numFmtId="0" fontId="12" fillId="31" borderId="17" xfId="0" applyFont="1" applyFill="1" applyBorder="1" applyAlignment="1">
      <alignment horizontal="center"/>
    </xf>
    <xf numFmtId="0" fontId="12" fillId="31" borderId="16" xfId="0" applyFont="1" applyFill="1" applyBorder="1" applyAlignment="1">
      <alignment horizontal="center"/>
    </xf>
    <xf numFmtId="0" fontId="12" fillId="31" borderId="15" xfId="0" applyFont="1" applyFill="1" applyBorder="1" applyAlignment="1">
      <alignment horizontal="center"/>
    </xf>
    <xf numFmtId="0" fontId="23" fillId="31" borderId="14" xfId="0" applyFont="1" applyFill="1" applyBorder="1" applyAlignment="1">
      <alignment horizontal="center"/>
    </xf>
    <xf numFmtId="0" fontId="23" fillId="31" borderId="0" xfId="0" applyFont="1" applyFill="1" applyAlignment="1">
      <alignment horizontal="center"/>
    </xf>
    <xf numFmtId="0" fontId="23" fillId="31" borderId="13" xfId="0" applyFont="1" applyFill="1" applyBorder="1" applyAlignment="1">
      <alignment horizontal="center"/>
    </xf>
    <xf numFmtId="0" fontId="22" fillId="31" borderId="9" xfId="0" applyFont="1" applyFill="1" applyBorder="1" applyAlignment="1">
      <alignment horizontal="center"/>
    </xf>
    <xf numFmtId="0" fontId="22" fillId="31" borderId="8" xfId="0" applyFont="1" applyFill="1" applyBorder="1" applyAlignment="1">
      <alignment horizontal="center"/>
    </xf>
    <xf numFmtId="0" fontId="22" fillId="31" borderId="7" xfId="0" applyFont="1" applyFill="1" applyBorder="1" applyAlignment="1">
      <alignment horizontal="center"/>
    </xf>
    <xf numFmtId="0" fontId="17" fillId="33" borderId="1" xfId="0" applyFont="1" applyFill="1" applyBorder="1" applyAlignment="1">
      <alignment horizontal="left"/>
    </xf>
    <xf numFmtId="41" fontId="38" fillId="15" borderId="1" xfId="0" applyNumberFormat="1" applyFont="1" applyFill="1" applyBorder="1" applyAlignment="1">
      <alignment horizontal="center" vertical="center"/>
    </xf>
    <xf numFmtId="41" fontId="69" fillId="15" borderId="1" xfId="0" applyNumberFormat="1" applyFont="1" applyFill="1" applyBorder="1" applyAlignment="1">
      <alignment horizontal="center" vertical="center"/>
    </xf>
    <xf numFmtId="0" fontId="69" fillId="15" borderId="1" xfId="0" applyFont="1" applyFill="1" applyBorder="1" applyAlignment="1">
      <alignment horizontal="center" vertical="center"/>
    </xf>
  </cellXfs>
  <cellStyles count="1">
    <cellStyle name="Normal" xfId="0" builtinId="0"/>
  </cellStyles>
  <dxfs count="61">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gradientFill type="path" left="0.5" right="0.5" top="0.5" bottom="0.5">
          <stop position="0">
            <color theme="0"/>
          </stop>
          <stop position="1">
            <color theme="8" tint="0.59999389629810485"/>
          </stop>
        </gradient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gradientFill type="path" left="0.5" right="0.5" top="0.5" bottom="0.5">
          <stop position="0">
            <color theme="0"/>
          </stop>
          <stop position="1">
            <color theme="7" tint="0.59999389629810485"/>
          </stop>
        </gradient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E6D5F3"/>
      <color rgb="FFF4EAFA"/>
      <color rgb="FFFFFF79"/>
      <color rgb="FFFFFF99"/>
      <color rgb="FFFFFF66"/>
      <color rgb="FFEAC6C4"/>
      <color rgb="FF004070"/>
      <color rgb="FFEEE1F7"/>
      <color rgb="FFCDACE6"/>
      <color rgb="FF0053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elle1987\Downloads\May%202023%20Kanawha%20Report%20(4).xlsx" TargetMode="External"/><Relationship Id="rId1" Type="http://schemas.openxmlformats.org/officeDocument/2006/relationships/externalLinkPath" Target="/Users/Belle1987/Downloads/May%202023%20Kanawha%20Report%20(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LIENT%20ENROLLMENT%20DISCHAR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BUSINESS CONTACTS "/>
      <sheetName val="PRESENTATIONS"/>
      <sheetName val="CLIENT ENROLLMENT DISCHARGE "/>
      <sheetName val="JULY"/>
      <sheetName val="AUG"/>
      <sheetName val="SEPT"/>
      <sheetName val="OCT"/>
      <sheetName val="NOV"/>
      <sheetName val="DEC"/>
      <sheetName val="JAN"/>
      <sheetName val="FEB"/>
      <sheetName val="MAR"/>
      <sheetName val="APR"/>
      <sheetName val="MAY"/>
      <sheetName val="JUNE"/>
      <sheetName val="SUMMARY"/>
      <sheetName val="drop down list "/>
    </sheetNames>
    <sheetDataSet>
      <sheetData sheetId="0"/>
      <sheetData sheetId="1"/>
      <sheetData sheetId="2"/>
      <sheetData sheetId="3">
        <row r="30">
          <cell r="B30">
            <v>251</v>
          </cell>
          <cell r="C30">
            <v>251</v>
          </cell>
          <cell r="L30" t="str">
            <v>YES</v>
          </cell>
          <cell r="M30">
            <v>44957</v>
          </cell>
        </row>
        <row r="31">
          <cell r="B31">
            <v>254</v>
          </cell>
          <cell r="C31">
            <v>254</v>
          </cell>
          <cell r="L31"/>
          <cell r="M31"/>
        </row>
        <row r="32">
          <cell r="B32">
            <v>257</v>
          </cell>
          <cell r="C32">
            <v>257</v>
          </cell>
          <cell r="L32" t="str">
            <v>YES</v>
          </cell>
          <cell r="M32">
            <v>45016</v>
          </cell>
        </row>
        <row r="33">
          <cell r="B33">
            <v>258</v>
          </cell>
          <cell r="C33">
            <v>258</v>
          </cell>
          <cell r="L33"/>
          <cell r="M33"/>
        </row>
        <row r="34">
          <cell r="B34">
            <v>256</v>
          </cell>
          <cell r="C34">
            <v>256</v>
          </cell>
          <cell r="L34"/>
          <cell r="M34"/>
        </row>
        <row r="35">
          <cell r="B35">
            <v>259</v>
          </cell>
          <cell r="C35">
            <v>259</v>
          </cell>
          <cell r="L35"/>
          <cell r="M35"/>
        </row>
        <row r="36">
          <cell r="B36">
            <v>260</v>
          </cell>
          <cell r="C36">
            <v>260</v>
          </cell>
          <cell r="L36"/>
          <cell r="M36"/>
        </row>
        <row r="37">
          <cell r="B37">
            <v>261</v>
          </cell>
          <cell r="C37">
            <v>261</v>
          </cell>
          <cell r="L37"/>
          <cell r="M37"/>
        </row>
        <row r="38">
          <cell r="B38">
            <v>262</v>
          </cell>
          <cell r="C38">
            <v>262</v>
          </cell>
          <cell r="L38"/>
          <cell r="M38"/>
        </row>
        <row r="39">
          <cell r="B39">
            <v>263</v>
          </cell>
          <cell r="C39">
            <v>263</v>
          </cell>
          <cell r="L39"/>
          <cell r="M39"/>
        </row>
        <row r="40">
          <cell r="B40">
            <v>264</v>
          </cell>
          <cell r="C40">
            <v>264</v>
          </cell>
          <cell r="L40"/>
          <cell r="M40"/>
        </row>
        <row r="41">
          <cell r="B41">
            <v>265</v>
          </cell>
          <cell r="C41">
            <v>265</v>
          </cell>
          <cell r="L41"/>
          <cell r="M41"/>
        </row>
        <row r="42">
          <cell r="B42">
            <v>270</v>
          </cell>
          <cell r="C42">
            <v>270</v>
          </cell>
          <cell r="L42" t="str">
            <v>YES</v>
          </cell>
          <cell r="M42">
            <v>44985</v>
          </cell>
        </row>
        <row r="43">
          <cell r="B43">
            <v>148</v>
          </cell>
          <cell r="C43">
            <v>148</v>
          </cell>
          <cell r="L43"/>
          <cell r="M43"/>
        </row>
        <row r="44">
          <cell r="B44">
            <v>273</v>
          </cell>
          <cell r="C44">
            <v>273</v>
          </cell>
          <cell r="L44"/>
          <cell r="M44"/>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IENT ENROLLMENT DISCHARGE"/>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1"/>
  <sheetViews>
    <sheetView tabSelected="1" workbookViewId="0">
      <pane ySplit="1" topLeftCell="A2" activePane="bottomLeft" state="frozen"/>
      <selection pane="bottomLeft" activeCell="AJ1" sqref="AJ1"/>
    </sheetView>
  </sheetViews>
  <sheetFormatPr defaultRowHeight="15" x14ac:dyDescent="0.25"/>
  <cols>
    <col min="1" max="1" width="23.5703125" customWidth="1"/>
    <col min="2" max="34" width="4.7109375" customWidth="1"/>
  </cols>
  <sheetData>
    <row r="1" spans="1:38" ht="15.75" x14ac:dyDescent="0.25">
      <c r="A1" s="324" t="str">
        <f>'CLIENT ENROLLMENT DISCHARGE '!A2</f>
        <v>WV Bureau for Behavioral Health and Health Facilities  - Customized Employment v20230622</v>
      </c>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6"/>
    </row>
    <row r="2" spans="1:38" x14ac:dyDescent="0.25">
      <c r="A2" s="327" t="str">
        <f>'CLIENT ENROLLMENT DISCHARGE '!A3</f>
        <v>State Fiscal Year  2024  (July 1, 2023 - June 30, 2024)</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9"/>
    </row>
    <row r="3" spans="1:38" x14ac:dyDescent="0.25">
      <c r="A3" s="330" t="str">
        <f>'CLIENT ENROLLMENT DISCHARGE '!A4</f>
        <v xml:space="preserve">Program reports need to be submitted electronically, via e-mail to DHHRBBHReporting@wv.gov  within 25 calendar days of the end of each month </v>
      </c>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2"/>
    </row>
    <row r="4" spans="1:38" x14ac:dyDescent="0.25">
      <c r="A4" s="333" t="s">
        <v>33</v>
      </c>
      <c r="B4" s="334"/>
      <c r="C4" s="334"/>
      <c r="D4" s="335"/>
      <c r="E4" s="303" t="str">
        <f>'CLIENT ENROLLMENT DISCHARGE '!E5</f>
        <v>Customized Employment</v>
      </c>
      <c r="F4" s="304"/>
      <c r="G4" s="304"/>
      <c r="H4" s="304"/>
      <c r="I4" s="304"/>
      <c r="J4" s="304"/>
      <c r="K4" s="304"/>
      <c r="L4" s="304"/>
      <c r="M4" s="304"/>
      <c r="N4" s="305"/>
      <c r="O4" s="333" t="s">
        <v>32</v>
      </c>
      <c r="P4" s="334"/>
      <c r="Q4" s="334"/>
      <c r="R4" s="334"/>
      <c r="S4" s="334"/>
      <c r="T4" s="334"/>
      <c r="U4" s="334"/>
      <c r="V4" s="335"/>
      <c r="W4" s="338">
        <f>'CLIENT ENROLLMENT DISCHARGE '!M5</f>
        <v>0</v>
      </c>
      <c r="X4" s="339"/>
      <c r="Y4" s="339"/>
      <c r="Z4" s="339"/>
      <c r="AA4" s="339"/>
      <c r="AB4" s="339"/>
      <c r="AC4" s="339"/>
      <c r="AD4" s="339"/>
      <c r="AE4" s="339"/>
      <c r="AF4" s="339"/>
      <c r="AG4" s="339"/>
      <c r="AH4" s="340"/>
    </row>
    <row r="5" spans="1:38" x14ac:dyDescent="0.25">
      <c r="A5" s="333" t="s">
        <v>31</v>
      </c>
      <c r="B5" s="334"/>
      <c r="C5" s="334"/>
      <c r="D5" s="335"/>
      <c r="E5" s="303">
        <f>'CLIENT ENROLLMENT DISCHARGE '!E6</f>
        <v>0</v>
      </c>
      <c r="F5" s="304"/>
      <c r="G5" s="304"/>
      <c r="H5" s="304"/>
      <c r="I5" s="304"/>
      <c r="J5" s="304"/>
      <c r="K5" s="304"/>
      <c r="L5" s="304"/>
      <c r="M5" s="304"/>
      <c r="N5" s="305"/>
      <c r="O5" s="333" t="s">
        <v>30</v>
      </c>
      <c r="P5" s="334"/>
      <c r="Q5" s="334"/>
      <c r="R5" s="334"/>
      <c r="S5" s="334"/>
      <c r="T5" s="334"/>
      <c r="U5" s="334"/>
      <c r="V5" s="335"/>
      <c r="W5" s="338">
        <f>'CLIENT ENROLLMENT DISCHARGE '!M6</f>
        <v>0</v>
      </c>
      <c r="X5" s="339"/>
      <c r="Y5" s="339"/>
      <c r="Z5" s="339"/>
      <c r="AA5" s="339"/>
      <c r="AB5" s="339"/>
      <c r="AC5" s="339"/>
      <c r="AD5" s="339"/>
      <c r="AE5" s="339"/>
      <c r="AF5" s="339"/>
      <c r="AG5" s="339"/>
      <c r="AH5" s="340"/>
    </row>
    <row r="6" spans="1:38" x14ac:dyDescent="0.25">
      <c r="A6" s="309" t="s">
        <v>29</v>
      </c>
      <c r="B6" s="310"/>
      <c r="C6" s="310"/>
      <c r="D6" s="311"/>
      <c r="E6" s="355">
        <f>'CLIENT ENROLLMENT DISCHARGE '!E7</f>
        <v>0</v>
      </c>
      <c r="F6" s="356"/>
      <c r="G6" s="356"/>
      <c r="H6" s="356"/>
      <c r="I6" s="356"/>
      <c r="J6" s="356"/>
      <c r="K6" s="356"/>
      <c r="L6" s="356"/>
      <c r="M6" s="356"/>
      <c r="N6" s="357"/>
      <c r="O6" s="333" t="s">
        <v>124</v>
      </c>
      <c r="P6" s="334"/>
      <c r="Q6" s="334"/>
      <c r="R6" s="334"/>
      <c r="S6" s="334"/>
      <c r="T6" s="334"/>
      <c r="U6" s="334"/>
      <c r="V6" s="335"/>
      <c r="W6" s="338">
        <f>'CLIENT ENROLLMENT DISCHARGE '!M7</f>
        <v>0</v>
      </c>
      <c r="X6" s="339"/>
      <c r="Y6" s="339"/>
      <c r="Z6" s="339"/>
      <c r="AA6" s="339"/>
      <c r="AB6" s="339"/>
      <c r="AC6" s="339"/>
      <c r="AD6" s="339"/>
      <c r="AE6" s="339"/>
      <c r="AF6" s="339"/>
      <c r="AG6" s="339"/>
      <c r="AH6" s="340"/>
    </row>
    <row r="7" spans="1:38" ht="15.75" x14ac:dyDescent="0.25">
      <c r="A7" s="312"/>
      <c r="B7" s="313"/>
      <c r="C7" s="313"/>
      <c r="D7" s="314"/>
      <c r="E7" s="358"/>
      <c r="F7" s="359"/>
      <c r="G7" s="359"/>
      <c r="H7" s="359"/>
      <c r="I7" s="359"/>
      <c r="J7" s="359"/>
      <c r="K7" s="359"/>
      <c r="L7" s="359"/>
      <c r="M7" s="359"/>
      <c r="N7" s="360"/>
      <c r="O7" s="361" t="s">
        <v>28</v>
      </c>
      <c r="P7" s="362"/>
      <c r="Q7" s="362"/>
      <c r="R7" s="362"/>
      <c r="S7" s="362"/>
      <c r="T7" s="362"/>
      <c r="U7" s="362"/>
      <c r="V7" s="363"/>
      <c r="W7" s="348">
        <f>'CLIENT ENROLLMENT DISCHARGE '!M8</f>
        <v>0</v>
      </c>
      <c r="X7" s="349"/>
      <c r="Y7" s="349"/>
      <c r="Z7" s="349"/>
      <c r="AA7" s="349"/>
      <c r="AB7" s="349"/>
      <c r="AC7" s="349"/>
      <c r="AD7" s="349"/>
      <c r="AE7" s="349"/>
      <c r="AF7" s="349"/>
      <c r="AG7" s="349"/>
      <c r="AH7" s="350"/>
    </row>
    <row r="8" spans="1:38" ht="15.75" customHeight="1" x14ac:dyDescent="0.25">
      <c r="A8" s="306" t="s">
        <v>223</v>
      </c>
      <c r="B8" s="307"/>
      <c r="C8" s="307"/>
      <c r="D8" s="308"/>
      <c r="E8" s="300" t="str">
        <f>'CLIENT ENROLLMENT DISCHARGE '!E9</f>
        <v>May 1 - 31</v>
      </c>
      <c r="F8" s="301"/>
      <c r="G8" s="301"/>
      <c r="H8" s="301"/>
      <c r="I8" s="302"/>
      <c r="J8" s="297">
        <f>'CLIENT ENROLLMENT DISCHARGE '!G9</f>
        <v>2023</v>
      </c>
      <c r="K8" s="298"/>
      <c r="L8" s="298"/>
      <c r="M8" s="298"/>
      <c r="N8" s="299"/>
      <c r="O8" s="352" t="s">
        <v>125</v>
      </c>
      <c r="P8" s="353"/>
      <c r="Q8" s="353"/>
      <c r="R8" s="353"/>
      <c r="S8" s="353"/>
      <c r="T8" s="353"/>
      <c r="U8" s="353"/>
      <c r="V8" s="354"/>
      <c r="W8" s="348">
        <f>'CLIENT ENROLLMENT DISCHARGE '!M9</f>
        <v>0</v>
      </c>
      <c r="X8" s="349"/>
      <c r="Y8" s="349"/>
      <c r="Z8" s="349"/>
      <c r="AA8" s="349"/>
      <c r="AB8" s="349"/>
      <c r="AC8" s="349"/>
      <c r="AD8" s="349"/>
      <c r="AE8" s="349"/>
      <c r="AF8" s="349"/>
      <c r="AG8" s="349"/>
      <c r="AH8" s="350"/>
    </row>
    <row r="9" spans="1:38" ht="15.75" customHeight="1" x14ac:dyDescent="0.25">
      <c r="A9" s="165"/>
      <c r="B9" s="165"/>
      <c r="C9" s="165"/>
      <c r="D9" s="165"/>
      <c r="E9" s="166"/>
      <c r="F9" s="166"/>
      <c r="G9" s="166"/>
      <c r="H9" s="166"/>
      <c r="I9" s="166"/>
      <c r="J9" s="166"/>
      <c r="K9" s="166"/>
      <c r="L9" s="166"/>
      <c r="M9" s="166"/>
      <c r="N9" s="166"/>
      <c r="O9" s="167"/>
      <c r="P9" s="167"/>
      <c r="Q9" s="167"/>
      <c r="R9" s="167"/>
      <c r="S9" s="167"/>
      <c r="T9" s="167"/>
      <c r="U9" s="167"/>
      <c r="V9" s="167"/>
      <c r="W9" s="168"/>
      <c r="X9" s="168"/>
      <c r="Y9" s="168"/>
      <c r="Z9" s="168"/>
      <c r="AA9" s="168"/>
      <c r="AB9" s="168"/>
      <c r="AC9" s="168"/>
      <c r="AD9" s="168"/>
      <c r="AE9" s="168"/>
      <c r="AF9" s="168"/>
      <c r="AG9" s="168"/>
      <c r="AH9" s="168"/>
    </row>
    <row r="10" spans="1:38" ht="50.1" customHeight="1" x14ac:dyDescent="0.25">
      <c r="A10" s="169" t="s">
        <v>331</v>
      </c>
      <c r="B10" s="315" t="s">
        <v>332</v>
      </c>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row>
    <row r="11" spans="1:38" ht="15.75" customHeight="1" x14ac:dyDescent="0.25">
      <c r="A11" s="165"/>
      <c r="B11" s="165"/>
      <c r="C11" s="165"/>
      <c r="D11" s="165"/>
      <c r="E11" s="166"/>
      <c r="F11" s="166"/>
      <c r="G11" s="166"/>
      <c r="H11" s="166"/>
      <c r="I11" s="166"/>
      <c r="J11" s="166"/>
      <c r="K11" s="166"/>
      <c r="L11" s="166"/>
      <c r="M11" s="166"/>
      <c r="N11" s="166"/>
      <c r="O11" s="167"/>
      <c r="P11" s="167"/>
      <c r="Q11" s="167"/>
      <c r="R11" s="167"/>
      <c r="S11" s="167"/>
      <c r="T11" s="167"/>
      <c r="U11" s="167"/>
      <c r="V11" s="167"/>
      <c r="W11" s="168"/>
      <c r="X11" s="168"/>
      <c r="Y11" s="168"/>
      <c r="Z11" s="168"/>
      <c r="AA11" s="168"/>
      <c r="AB11" s="168"/>
      <c r="AC11" s="168"/>
      <c r="AD11" s="168"/>
      <c r="AE11" s="168"/>
      <c r="AF11" s="168"/>
      <c r="AG11" s="168"/>
      <c r="AH11" s="168"/>
    </row>
    <row r="12" spans="1:38" ht="39.950000000000003" customHeight="1" x14ac:dyDescent="0.25">
      <c r="A12" s="268" t="s">
        <v>310</v>
      </c>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162"/>
      <c r="AJ12" s="162"/>
      <c r="AK12" s="162"/>
      <c r="AL12" s="162"/>
    </row>
    <row r="13" spans="1:38" ht="15.75" customHeight="1" thickBot="1" x14ac:dyDescent="0.3">
      <c r="A13" s="269" t="s">
        <v>311</v>
      </c>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163"/>
      <c r="AJ13" s="163"/>
      <c r="AK13" s="163"/>
      <c r="AL13" s="163"/>
    </row>
    <row r="14" spans="1:38" ht="15.75" customHeight="1" thickTop="1" thickBot="1" x14ac:dyDescent="0.3">
      <c r="A14" s="277" t="s">
        <v>312</v>
      </c>
      <c r="B14" s="277"/>
      <c r="C14" s="277"/>
      <c r="D14" s="272"/>
      <c r="E14" s="274" t="s">
        <v>313</v>
      </c>
      <c r="F14" s="275"/>
      <c r="G14" s="275"/>
      <c r="H14" s="276"/>
      <c r="I14" s="272" t="s">
        <v>87</v>
      </c>
      <c r="J14" s="273"/>
      <c r="K14" s="273"/>
      <c r="L14" s="273"/>
      <c r="M14" s="274" t="s">
        <v>314</v>
      </c>
      <c r="N14" s="275"/>
      <c r="O14" s="275"/>
      <c r="P14" s="276"/>
      <c r="Q14" s="272" t="s">
        <v>26</v>
      </c>
      <c r="R14" s="273"/>
      <c r="S14" s="273"/>
      <c r="T14" s="273"/>
      <c r="U14" s="274" t="s">
        <v>315</v>
      </c>
      <c r="V14" s="275"/>
      <c r="W14" s="275"/>
      <c r="X14" s="276"/>
      <c r="Y14" s="272" t="s">
        <v>316</v>
      </c>
      <c r="Z14" s="273"/>
      <c r="AA14" s="273"/>
      <c r="AB14" s="273"/>
      <c r="AC14" s="274" t="s">
        <v>317</v>
      </c>
      <c r="AD14" s="275"/>
      <c r="AE14" s="275"/>
      <c r="AF14" s="276"/>
      <c r="AG14" s="129"/>
      <c r="AH14" s="129"/>
    </row>
    <row r="15" spans="1:38" ht="15.75" customHeight="1" thickTop="1" thickBot="1" x14ac:dyDescent="0.3">
      <c r="A15" s="277" t="s">
        <v>318</v>
      </c>
      <c r="B15" s="277"/>
      <c r="C15" s="277"/>
      <c r="D15" s="272"/>
      <c r="E15" s="274" t="s">
        <v>319</v>
      </c>
      <c r="F15" s="275"/>
      <c r="G15" s="275"/>
      <c r="H15" s="276"/>
      <c r="I15" s="272" t="s">
        <v>89</v>
      </c>
      <c r="J15" s="273"/>
      <c r="K15" s="273"/>
      <c r="L15" s="273"/>
      <c r="M15" s="274" t="s">
        <v>320</v>
      </c>
      <c r="N15" s="275"/>
      <c r="O15" s="275"/>
      <c r="P15" s="276"/>
      <c r="Q15" s="272" t="s">
        <v>69</v>
      </c>
      <c r="R15" s="273"/>
      <c r="S15" s="273"/>
      <c r="T15" s="273"/>
      <c r="U15" s="274" t="s">
        <v>321</v>
      </c>
      <c r="V15" s="275"/>
      <c r="W15" s="275"/>
      <c r="X15" s="276"/>
      <c r="Y15" s="272" t="s">
        <v>322</v>
      </c>
      <c r="Z15" s="273"/>
      <c r="AA15" s="273"/>
      <c r="AB15" s="273"/>
      <c r="AC15" s="274" t="s">
        <v>323</v>
      </c>
      <c r="AD15" s="275"/>
      <c r="AE15" s="275"/>
      <c r="AF15" s="276"/>
      <c r="AG15" s="129"/>
      <c r="AH15" s="129"/>
    </row>
    <row r="16" spans="1:38" ht="15.75" customHeight="1" thickTop="1" thickBot="1" x14ac:dyDescent="0.3">
      <c r="A16" s="277" t="s">
        <v>324</v>
      </c>
      <c r="B16" s="277"/>
      <c r="C16" s="277"/>
      <c r="D16" s="272"/>
      <c r="E16" s="274" t="s">
        <v>325</v>
      </c>
      <c r="F16" s="275"/>
      <c r="G16" s="275"/>
      <c r="H16" s="276"/>
      <c r="I16" s="272" t="s">
        <v>326</v>
      </c>
      <c r="J16" s="273"/>
      <c r="K16" s="273"/>
      <c r="L16" s="273"/>
      <c r="M16" s="274" t="s">
        <v>327</v>
      </c>
      <c r="N16" s="275"/>
      <c r="O16" s="275"/>
      <c r="P16" s="276"/>
      <c r="Q16" s="272" t="s">
        <v>72</v>
      </c>
      <c r="R16" s="273"/>
      <c r="S16" s="273"/>
      <c r="T16" s="273"/>
      <c r="U16" s="274" t="s">
        <v>328</v>
      </c>
      <c r="V16" s="275"/>
      <c r="W16" s="275"/>
      <c r="X16" s="276"/>
      <c r="Y16" s="272" t="s">
        <v>329</v>
      </c>
      <c r="Z16" s="273"/>
      <c r="AA16" s="273"/>
      <c r="AB16" s="273"/>
      <c r="AC16" s="274" t="s">
        <v>330</v>
      </c>
      <c r="AD16" s="275"/>
      <c r="AE16" s="275"/>
      <c r="AF16" s="276"/>
      <c r="AG16" s="129"/>
      <c r="AH16" s="129"/>
    </row>
    <row r="17" spans="1:38" ht="39.950000000000003" customHeight="1" thickTop="1" x14ac:dyDescent="0.25">
      <c r="A17" s="271" t="s">
        <v>46</v>
      </c>
      <c r="B17" s="271"/>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164"/>
      <c r="AJ17" s="164"/>
      <c r="AK17" s="164"/>
      <c r="AL17" s="164"/>
    </row>
    <row r="18" spans="1:38" ht="15.75" customHeight="1" x14ac:dyDescent="0.25">
      <c r="A18" s="165"/>
      <c r="B18" s="165"/>
      <c r="C18" s="165"/>
      <c r="D18" s="165"/>
      <c r="E18" s="166"/>
      <c r="F18" s="166"/>
      <c r="G18" s="166"/>
      <c r="H18" s="166"/>
      <c r="I18" s="166"/>
      <c r="J18" s="166"/>
      <c r="K18" s="166"/>
      <c r="L18" s="166"/>
      <c r="M18" s="166"/>
      <c r="N18" s="166"/>
      <c r="O18" s="167"/>
      <c r="P18" s="167"/>
      <c r="Q18" s="167"/>
      <c r="R18" s="167"/>
      <c r="S18" s="167"/>
      <c r="T18" s="167"/>
      <c r="U18" s="167"/>
      <c r="V18" s="167"/>
      <c r="W18" s="168"/>
      <c r="X18" s="168"/>
      <c r="Y18" s="168"/>
      <c r="Z18" s="168"/>
      <c r="AA18" s="168"/>
      <c r="AB18" s="168"/>
      <c r="AC18" s="168"/>
      <c r="AD18" s="168"/>
      <c r="AE18" s="168"/>
      <c r="AF18" s="168"/>
      <c r="AG18" s="168"/>
      <c r="AH18" s="168"/>
    </row>
    <row r="20" spans="1:38" ht="18.75" x14ac:dyDescent="0.3">
      <c r="A20" s="351" t="s">
        <v>247</v>
      </c>
      <c r="B20" s="351"/>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row>
    <row r="21" spans="1:38" ht="15" customHeight="1" x14ac:dyDescent="0.25">
      <c r="A21" s="170" t="s">
        <v>256</v>
      </c>
      <c r="B21" s="316" t="s">
        <v>224</v>
      </c>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6"/>
    </row>
    <row r="22" spans="1:38" ht="15" customHeight="1" x14ac:dyDescent="0.25">
      <c r="A22" s="170" t="s">
        <v>228</v>
      </c>
      <c r="B22" s="282" t="s">
        <v>225</v>
      </c>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row>
    <row r="23" spans="1:38" ht="15" customHeight="1" x14ac:dyDescent="0.25">
      <c r="A23" s="170" t="s">
        <v>229</v>
      </c>
      <c r="B23" s="316" t="s">
        <v>226</v>
      </c>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row>
    <row r="24" spans="1:38" ht="15" customHeight="1" x14ac:dyDescent="0.25">
      <c r="A24" s="170" t="s">
        <v>230</v>
      </c>
      <c r="B24" s="282" t="s">
        <v>227</v>
      </c>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row>
    <row r="25" spans="1:38" ht="15" customHeight="1" x14ac:dyDescent="0.25">
      <c r="A25" s="170" t="s">
        <v>231</v>
      </c>
      <c r="B25" s="316" t="s">
        <v>232</v>
      </c>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row>
    <row r="26" spans="1:38" ht="20.100000000000001" customHeight="1" x14ac:dyDescent="0.25">
      <c r="A26" s="170" t="s">
        <v>234</v>
      </c>
      <c r="B26" s="316" t="s">
        <v>255</v>
      </c>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row>
    <row r="27" spans="1:38" ht="30" customHeight="1" x14ac:dyDescent="0.25">
      <c r="A27" s="169" t="s">
        <v>233</v>
      </c>
      <c r="B27" s="282" t="s">
        <v>235</v>
      </c>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row>
    <row r="28" spans="1:38" ht="15" customHeight="1" x14ac:dyDescent="0.25">
      <c r="A28" s="169" t="s">
        <v>236</v>
      </c>
      <c r="B28" s="316" t="s">
        <v>237</v>
      </c>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row>
    <row r="29" spans="1:38" x14ac:dyDescent="0.25">
      <c r="A29" s="169" t="s">
        <v>242</v>
      </c>
      <c r="B29" s="317" t="s">
        <v>241</v>
      </c>
      <c r="C29" s="317"/>
      <c r="D29" s="317"/>
      <c r="E29" s="317"/>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c r="AH29" s="317"/>
    </row>
    <row r="30" spans="1:38" x14ac:dyDescent="0.25">
      <c r="A30" s="169" t="s">
        <v>240</v>
      </c>
      <c r="B30" s="318" t="s">
        <v>244</v>
      </c>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row>
    <row r="31" spans="1:38" x14ac:dyDescent="0.25">
      <c r="A31" s="169" t="s">
        <v>243</v>
      </c>
      <c r="B31" s="317" t="s">
        <v>245</v>
      </c>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7"/>
      <c r="AG31" s="317"/>
      <c r="AH31" s="317"/>
    </row>
    <row r="32" spans="1:38" x14ac:dyDescent="0.25">
      <c r="A32" s="169" t="s">
        <v>243</v>
      </c>
      <c r="B32" s="319" t="s">
        <v>246</v>
      </c>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1"/>
    </row>
    <row r="33" spans="1:34" x14ac:dyDescent="0.25">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row>
    <row r="34" spans="1:34" ht="18.75" x14ac:dyDescent="0.3">
      <c r="A34" s="322" t="s">
        <v>248</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row>
    <row r="35" spans="1:34" x14ac:dyDescent="0.25">
      <c r="A35" s="170" t="s">
        <v>256</v>
      </c>
      <c r="B35" s="281" t="s">
        <v>224</v>
      </c>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row>
    <row r="36" spans="1:34" x14ac:dyDescent="0.25">
      <c r="A36" s="170" t="s">
        <v>228</v>
      </c>
      <c r="B36" s="280" t="s">
        <v>225</v>
      </c>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row>
    <row r="37" spans="1:34" x14ac:dyDescent="0.25">
      <c r="A37" s="170" t="s">
        <v>229</v>
      </c>
      <c r="B37" s="281" t="s">
        <v>226</v>
      </c>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row>
    <row r="38" spans="1:34" x14ac:dyDescent="0.25">
      <c r="A38" s="170" t="s">
        <v>230</v>
      </c>
      <c r="B38" s="280" t="s">
        <v>227</v>
      </c>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row>
    <row r="39" spans="1:34" x14ac:dyDescent="0.25">
      <c r="A39" s="170" t="s">
        <v>231</v>
      </c>
      <c r="B39" s="281" t="s">
        <v>232</v>
      </c>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row>
    <row r="40" spans="1:34" x14ac:dyDescent="0.25">
      <c r="A40" s="170" t="s">
        <v>234</v>
      </c>
      <c r="B40" s="280" t="s">
        <v>255</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row>
    <row r="41" spans="1:34" x14ac:dyDescent="0.25">
      <c r="A41" s="169" t="s">
        <v>233</v>
      </c>
      <c r="B41" s="281" t="s">
        <v>235</v>
      </c>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row>
    <row r="42" spans="1:34" x14ac:dyDescent="0.25">
      <c r="A42" s="169" t="s">
        <v>236</v>
      </c>
      <c r="B42" s="280" t="s">
        <v>237</v>
      </c>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row>
    <row r="43" spans="1:34" x14ac:dyDescent="0.25">
      <c r="A43" s="169" t="s">
        <v>242</v>
      </c>
      <c r="B43" s="281" t="s">
        <v>249</v>
      </c>
      <c r="C43" s="281"/>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row>
    <row r="44" spans="1:34" x14ac:dyDescent="0.25">
      <c r="A44" s="169" t="s">
        <v>250</v>
      </c>
      <c r="B44" s="280" t="s">
        <v>251</v>
      </c>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row>
    <row r="45" spans="1:34" x14ac:dyDescent="0.25">
      <c r="A45" s="169" t="s">
        <v>252</v>
      </c>
      <c r="B45" s="281" t="s">
        <v>253</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row>
    <row r="47" spans="1:34" ht="18.75" x14ac:dyDescent="0.3">
      <c r="A47" s="337" t="s">
        <v>254</v>
      </c>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row>
    <row r="48" spans="1:34" x14ac:dyDescent="0.25">
      <c r="A48" s="170" t="s">
        <v>256</v>
      </c>
      <c r="B48" s="284" t="s">
        <v>224</v>
      </c>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row>
    <row r="49" spans="1:34" x14ac:dyDescent="0.25">
      <c r="A49" s="170" t="s">
        <v>228</v>
      </c>
      <c r="B49" s="283" t="s">
        <v>225</v>
      </c>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row>
    <row r="50" spans="1:34" x14ac:dyDescent="0.25">
      <c r="A50" s="170" t="s">
        <v>229</v>
      </c>
      <c r="B50" s="284" t="s">
        <v>226</v>
      </c>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row>
    <row r="51" spans="1:34" x14ac:dyDescent="0.25">
      <c r="A51" s="170" t="s">
        <v>230</v>
      </c>
      <c r="B51" s="283" t="s">
        <v>227</v>
      </c>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row>
    <row r="52" spans="1:34" x14ac:dyDescent="0.25">
      <c r="A52" s="170" t="s">
        <v>231</v>
      </c>
      <c r="B52" s="284" t="s">
        <v>232</v>
      </c>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row>
    <row r="53" spans="1:34" x14ac:dyDescent="0.25">
      <c r="A53" s="170" t="s">
        <v>234</v>
      </c>
      <c r="B53" s="283" t="s">
        <v>255</v>
      </c>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row>
    <row r="54" spans="1:34" x14ac:dyDescent="0.25">
      <c r="A54" s="169" t="s">
        <v>233</v>
      </c>
      <c r="B54" s="284" t="s">
        <v>235</v>
      </c>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row>
    <row r="55" spans="1:34" ht="30" customHeight="1" x14ac:dyDescent="0.25">
      <c r="A55" s="169" t="s">
        <v>257</v>
      </c>
      <c r="B55" s="342" t="s">
        <v>307</v>
      </c>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4"/>
    </row>
    <row r="56" spans="1:34" ht="30" customHeight="1" x14ac:dyDescent="0.25">
      <c r="A56" s="169" t="s">
        <v>238</v>
      </c>
      <c r="B56" s="345" t="s">
        <v>261</v>
      </c>
      <c r="C56" s="346"/>
      <c r="D56" s="346"/>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c r="AG56" s="346"/>
      <c r="AH56" s="347"/>
    </row>
    <row r="57" spans="1:34" x14ac:dyDescent="0.25">
      <c r="A57" s="169" t="s">
        <v>239</v>
      </c>
      <c r="B57" s="285" t="s">
        <v>262</v>
      </c>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7"/>
    </row>
    <row r="58" spans="1:34" x14ac:dyDescent="0.25">
      <c r="A58" s="169" t="s">
        <v>240</v>
      </c>
      <c r="B58" s="291" t="s">
        <v>263</v>
      </c>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3"/>
    </row>
    <row r="59" spans="1:34" x14ac:dyDescent="0.25">
      <c r="A59" s="169" t="s">
        <v>258</v>
      </c>
      <c r="B59" s="285" t="s">
        <v>264</v>
      </c>
      <c r="C59" s="286"/>
      <c r="D59" s="286"/>
      <c r="E59" s="286"/>
      <c r="F59" s="286"/>
      <c r="G59" s="286"/>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7"/>
    </row>
    <row r="60" spans="1:34" x14ac:dyDescent="0.25">
      <c r="A60" s="169" t="s">
        <v>259</v>
      </c>
      <c r="B60" s="291" t="s">
        <v>265</v>
      </c>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3"/>
    </row>
    <row r="61" spans="1:34" x14ac:dyDescent="0.25">
      <c r="A61" s="169" t="s">
        <v>260</v>
      </c>
      <c r="B61" s="285" t="s">
        <v>266</v>
      </c>
      <c r="C61" s="286"/>
      <c r="D61" s="286"/>
      <c r="E61" s="286"/>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7"/>
    </row>
    <row r="62" spans="1:34" x14ac:dyDescent="0.25">
      <c r="A62" s="169" t="s">
        <v>268</v>
      </c>
      <c r="B62" s="291" t="s">
        <v>267</v>
      </c>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3"/>
    </row>
    <row r="63" spans="1:34" x14ac:dyDescent="0.25">
      <c r="A63" s="169" t="s">
        <v>269</v>
      </c>
      <c r="B63" s="285" t="s">
        <v>277</v>
      </c>
      <c r="C63" s="286"/>
      <c r="D63" s="286"/>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7"/>
    </row>
    <row r="64" spans="1:34" x14ac:dyDescent="0.25">
      <c r="A64" s="169" t="s">
        <v>270</v>
      </c>
      <c r="B64" s="291" t="s">
        <v>276</v>
      </c>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3"/>
    </row>
    <row r="65" spans="1:34" ht="30" customHeight="1" x14ac:dyDescent="0.25">
      <c r="A65" s="169" t="s">
        <v>271</v>
      </c>
      <c r="B65" s="288" t="s">
        <v>272</v>
      </c>
      <c r="C65" s="289"/>
      <c r="D65" s="289"/>
      <c r="E65" s="289"/>
      <c r="F65" s="289"/>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89"/>
      <c r="AE65" s="289"/>
      <c r="AF65" s="289"/>
      <c r="AG65" s="289"/>
      <c r="AH65" s="290"/>
    </row>
    <row r="66" spans="1:34" x14ac:dyDescent="0.25">
      <c r="A66" s="169" t="s">
        <v>274</v>
      </c>
      <c r="B66" s="294" t="s">
        <v>273</v>
      </c>
      <c r="C66" s="295"/>
      <c r="D66" s="295"/>
      <c r="E66" s="295"/>
      <c r="F66" s="295"/>
      <c r="G66" s="295"/>
      <c r="H66" s="295"/>
      <c r="I66" s="295"/>
      <c r="J66" s="295"/>
      <c r="K66" s="295"/>
      <c r="L66" s="295"/>
      <c r="M66" s="295"/>
      <c r="N66" s="295"/>
      <c r="O66" s="295"/>
      <c r="P66" s="295"/>
      <c r="Q66" s="295"/>
      <c r="R66" s="295"/>
      <c r="S66" s="295"/>
      <c r="T66" s="295"/>
      <c r="U66" s="295"/>
      <c r="V66" s="295"/>
      <c r="W66" s="295"/>
      <c r="X66" s="295"/>
      <c r="Y66" s="295"/>
      <c r="Z66" s="295"/>
      <c r="AA66" s="295"/>
      <c r="AB66" s="295"/>
      <c r="AC66" s="295"/>
      <c r="AD66" s="295"/>
      <c r="AE66" s="295"/>
      <c r="AF66" s="295"/>
      <c r="AG66" s="295"/>
      <c r="AH66" s="296"/>
    </row>
    <row r="67" spans="1:34" x14ac:dyDescent="0.25">
      <c r="A67" s="169" t="s">
        <v>275</v>
      </c>
      <c r="B67" s="285" t="s">
        <v>308</v>
      </c>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7"/>
    </row>
    <row r="69" spans="1:34" ht="18.75" x14ac:dyDescent="0.3">
      <c r="A69" s="336" t="s">
        <v>278</v>
      </c>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row>
    <row r="70" spans="1:34" x14ac:dyDescent="0.25">
      <c r="A70" s="170" t="s">
        <v>256</v>
      </c>
      <c r="B70" s="281" t="s">
        <v>224</v>
      </c>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row>
    <row r="71" spans="1:34" x14ac:dyDescent="0.25">
      <c r="A71" s="170" t="s">
        <v>228</v>
      </c>
      <c r="B71" s="280" t="s">
        <v>225</v>
      </c>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row>
    <row r="72" spans="1:34" x14ac:dyDescent="0.25">
      <c r="A72" s="170" t="s">
        <v>229</v>
      </c>
      <c r="B72" s="281" t="s">
        <v>226</v>
      </c>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row>
    <row r="73" spans="1:34" x14ac:dyDescent="0.25">
      <c r="A73" s="170" t="s">
        <v>230</v>
      </c>
      <c r="B73" s="280" t="s">
        <v>227</v>
      </c>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row>
    <row r="74" spans="1:34" ht="30" customHeight="1" x14ac:dyDescent="0.25">
      <c r="A74" s="170" t="s">
        <v>231</v>
      </c>
      <c r="B74" s="281" t="s">
        <v>333</v>
      </c>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row>
    <row r="75" spans="1:34" x14ac:dyDescent="0.25">
      <c r="A75" s="170" t="s">
        <v>234</v>
      </c>
      <c r="B75" s="280" t="s">
        <v>255</v>
      </c>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row>
    <row r="76" spans="1:34" x14ac:dyDescent="0.25">
      <c r="A76" s="169" t="s">
        <v>233</v>
      </c>
      <c r="B76" s="281" t="s">
        <v>235</v>
      </c>
      <c r="C76" s="281"/>
      <c r="D76" s="281"/>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row>
    <row r="77" spans="1:34" x14ac:dyDescent="0.25">
      <c r="A77" s="169" t="s">
        <v>236</v>
      </c>
      <c r="B77" s="283" t="s">
        <v>309</v>
      </c>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c r="AG77" s="283"/>
      <c r="AH77" s="283"/>
    </row>
    <row r="78" spans="1:34" x14ac:dyDescent="0.25">
      <c r="A78" s="169" t="s">
        <v>238</v>
      </c>
      <c r="B78" s="284" t="s">
        <v>279</v>
      </c>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row>
    <row r="79" spans="1:34" x14ac:dyDescent="0.25">
      <c r="A79" s="169" t="s">
        <v>239</v>
      </c>
      <c r="B79" s="280" t="s">
        <v>289</v>
      </c>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row>
    <row r="80" spans="1:34" x14ac:dyDescent="0.25">
      <c r="A80" s="169" t="s">
        <v>240</v>
      </c>
      <c r="B80" s="281" t="s">
        <v>290</v>
      </c>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row>
    <row r="81" spans="1:36" x14ac:dyDescent="0.25">
      <c r="A81" s="169" t="s">
        <v>258</v>
      </c>
      <c r="B81" s="279" t="s">
        <v>291</v>
      </c>
      <c r="C81" s="279"/>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row>
    <row r="82" spans="1:36" x14ac:dyDescent="0.25">
      <c r="A82" s="169" t="s">
        <v>259</v>
      </c>
      <c r="B82" s="278" t="s">
        <v>292</v>
      </c>
      <c r="C82" s="278"/>
      <c r="D82" s="278"/>
      <c r="E82" s="278"/>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row>
    <row r="83" spans="1:36" x14ac:dyDescent="0.25">
      <c r="A83" s="169" t="s">
        <v>260</v>
      </c>
      <c r="B83" s="279" t="s">
        <v>295</v>
      </c>
      <c r="C83" s="279"/>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row>
    <row r="84" spans="1:36" x14ac:dyDescent="0.25">
      <c r="A84" s="169" t="s">
        <v>268</v>
      </c>
      <c r="B84" s="278" t="s">
        <v>294</v>
      </c>
      <c r="C84" s="278"/>
      <c r="D84" s="278"/>
      <c r="E84" s="278"/>
      <c r="F84" s="278"/>
      <c r="G84" s="278"/>
      <c r="H84" s="278"/>
      <c r="I84" s="278"/>
      <c r="J84" s="278"/>
      <c r="K84" s="278"/>
      <c r="L84" s="278"/>
      <c r="M84" s="278"/>
      <c r="N84" s="278"/>
      <c r="O84" s="278"/>
      <c r="P84" s="278"/>
      <c r="Q84" s="278"/>
      <c r="R84" s="278"/>
      <c r="S84" s="278"/>
      <c r="T84" s="278"/>
      <c r="U84" s="278"/>
      <c r="V84" s="278"/>
      <c r="W84" s="278"/>
      <c r="X84" s="278"/>
      <c r="Y84" s="278"/>
      <c r="Z84" s="278"/>
      <c r="AA84" s="278"/>
      <c r="AB84" s="278"/>
      <c r="AC84" s="278"/>
      <c r="AD84" s="278"/>
      <c r="AE84" s="278"/>
      <c r="AF84" s="278"/>
      <c r="AG84" s="278"/>
      <c r="AH84" s="278"/>
    </row>
    <row r="85" spans="1:36" x14ac:dyDescent="0.25">
      <c r="A85" s="169" t="s">
        <v>269</v>
      </c>
      <c r="B85" s="279" t="s">
        <v>296</v>
      </c>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row>
    <row r="86" spans="1:36" x14ac:dyDescent="0.25">
      <c r="A86" s="169" t="s">
        <v>280</v>
      </c>
      <c r="B86" s="278" t="s">
        <v>297</v>
      </c>
      <c r="C86" s="278"/>
      <c r="D86" s="278"/>
      <c r="E86" s="278"/>
      <c r="F86" s="278"/>
      <c r="G86" s="278"/>
      <c r="H86" s="278"/>
      <c r="I86" s="278"/>
      <c r="J86" s="278"/>
      <c r="K86" s="278"/>
      <c r="L86" s="278"/>
      <c r="M86" s="278"/>
      <c r="N86" s="278"/>
      <c r="O86" s="278"/>
      <c r="P86" s="278"/>
      <c r="Q86" s="278"/>
      <c r="R86" s="278"/>
      <c r="S86" s="278"/>
      <c r="T86" s="278"/>
      <c r="U86" s="278"/>
      <c r="V86" s="278"/>
      <c r="W86" s="278"/>
      <c r="X86" s="278"/>
      <c r="Y86" s="278"/>
      <c r="Z86" s="278"/>
      <c r="AA86" s="278"/>
      <c r="AB86" s="278"/>
      <c r="AC86" s="278"/>
      <c r="AD86" s="278"/>
      <c r="AE86" s="278"/>
      <c r="AF86" s="278"/>
      <c r="AG86" s="278"/>
      <c r="AH86" s="278"/>
    </row>
    <row r="87" spans="1:36" x14ac:dyDescent="0.25">
      <c r="A87" s="169" t="s">
        <v>271</v>
      </c>
      <c r="B87" s="279" t="s">
        <v>298</v>
      </c>
      <c r="C87" s="279"/>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row>
    <row r="88" spans="1:36" x14ac:dyDescent="0.25">
      <c r="A88" s="169" t="s">
        <v>274</v>
      </c>
      <c r="B88" s="278" t="s">
        <v>299</v>
      </c>
      <c r="C88" s="278"/>
      <c r="D88" s="278"/>
      <c r="E88" s="278"/>
      <c r="F88" s="278"/>
      <c r="G88" s="278"/>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278"/>
      <c r="AG88" s="278"/>
      <c r="AH88" s="278"/>
    </row>
    <row r="89" spans="1:36" x14ac:dyDescent="0.25">
      <c r="A89" s="169" t="s">
        <v>275</v>
      </c>
      <c r="B89" s="279" t="s">
        <v>300</v>
      </c>
      <c r="C89" s="279"/>
      <c r="D89" s="279"/>
      <c r="E89" s="279"/>
      <c r="F89" s="279"/>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row>
    <row r="90" spans="1:36" x14ac:dyDescent="0.25">
      <c r="A90" s="169" t="s">
        <v>281</v>
      </c>
      <c r="B90" s="278" t="s">
        <v>301</v>
      </c>
      <c r="C90" s="278"/>
      <c r="D90" s="278"/>
      <c r="E90" s="278"/>
      <c r="F90" s="278"/>
      <c r="G90" s="278"/>
      <c r="H90" s="278"/>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row>
    <row r="91" spans="1:36" x14ac:dyDescent="0.25">
      <c r="A91" s="169" t="s">
        <v>282</v>
      </c>
      <c r="B91" s="279" t="s">
        <v>293</v>
      </c>
      <c r="C91" s="279"/>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171"/>
      <c r="AJ91" s="171"/>
    </row>
    <row r="92" spans="1:36" x14ac:dyDescent="0.25">
      <c r="A92" s="169" t="s">
        <v>283</v>
      </c>
      <c r="B92" s="278" t="s">
        <v>302</v>
      </c>
      <c r="C92" s="278"/>
      <c r="D92" s="278"/>
      <c r="E92" s="278"/>
      <c r="F92" s="278"/>
      <c r="G92" s="278"/>
      <c r="H92" s="278"/>
      <c r="I92" s="278"/>
      <c r="J92" s="278"/>
      <c r="K92" s="278"/>
      <c r="L92" s="278"/>
      <c r="M92" s="278"/>
      <c r="N92" s="278"/>
      <c r="O92" s="278"/>
      <c r="P92" s="278"/>
      <c r="Q92" s="278"/>
      <c r="R92" s="278"/>
      <c r="S92" s="278"/>
      <c r="T92" s="278"/>
      <c r="U92" s="278"/>
      <c r="V92" s="278"/>
      <c r="W92" s="278"/>
      <c r="X92" s="278"/>
      <c r="Y92" s="278"/>
      <c r="Z92" s="278"/>
      <c r="AA92" s="278"/>
      <c r="AB92" s="278"/>
      <c r="AC92" s="278"/>
      <c r="AD92" s="278"/>
      <c r="AE92" s="278"/>
      <c r="AF92" s="278"/>
      <c r="AG92" s="278"/>
      <c r="AH92" s="278"/>
    </row>
    <row r="93" spans="1:36" x14ac:dyDescent="0.25">
      <c r="A93" s="169" t="s">
        <v>284</v>
      </c>
      <c r="B93" s="279" t="s">
        <v>303</v>
      </c>
      <c r="C93" s="279"/>
      <c r="D93" s="279"/>
      <c r="E93" s="279"/>
      <c r="F93" s="279"/>
      <c r="G93" s="279"/>
      <c r="H93" s="279"/>
      <c r="I93" s="279"/>
      <c r="J93" s="279"/>
      <c r="K93" s="279"/>
      <c r="L93" s="279"/>
      <c r="M93" s="279"/>
      <c r="N93" s="279"/>
      <c r="O93" s="279"/>
      <c r="P93" s="279"/>
      <c r="Q93" s="279"/>
      <c r="R93" s="279"/>
      <c r="S93" s="279"/>
      <c r="T93" s="279"/>
      <c r="U93" s="279"/>
      <c r="V93" s="279"/>
      <c r="W93" s="279"/>
      <c r="X93" s="279"/>
      <c r="Y93" s="279"/>
      <c r="Z93" s="279"/>
      <c r="AA93" s="279"/>
      <c r="AB93" s="279"/>
      <c r="AC93" s="279"/>
      <c r="AD93" s="279"/>
      <c r="AE93" s="279"/>
      <c r="AF93" s="279"/>
      <c r="AG93" s="279"/>
      <c r="AH93" s="279"/>
    </row>
    <row r="94" spans="1:36" x14ac:dyDescent="0.25">
      <c r="A94" s="169" t="s">
        <v>285</v>
      </c>
      <c r="B94" s="278" t="s">
        <v>304</v>
      </c>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171"/>
      <c r="AJ94" s="171"/>
    </row>
    <row r="95" spans="1:36" x14ac:dyDescent="0.25">
      <c r="A95" s="169" t="s">
        <v>286</v>
      </c>
      <c r="B95" s="279" t="s">
        <v>8</v>
      </c>
      <c r="C95" s="279"/>
      <c r="D95" s="279"/>
      <c r="E95" s="279"/>
      <c r="F95" s="279"/>
      <c r="G95" s="279"/>
      <c r="H95" s="279"/>
      <c r="I95" s="279"/>
      <c r="J95" s="279"/>
      <c r="K95" s="279"/>
      <c r="L95" s="279"/>
      <c r="M95" s="279"/>
      <c r="N95" s="279"/>
      <c r="O95" s="279"/>
      <c r="P95" s="279"/>
      <c r="Q95" s="279"/>
      <c r="R95" s="279"/>
      <c r="S95" s="279"/>
      <c r="T95" s="279"/>
      <c r="U95" s="279"/>
      <c r="V95" s="279"/>
      <c r="W95" s="279"/>
      <c r="X95" s="279"/>
      <c r="Y95" s="279"/>
      <c r="Z95" s="279"/>
      <c r="AA95" s="279"/>
      <c r="AB95" s="279"/>
      <c r="AC95" s="279"/>
      <c r="AD95" s="279"/>
      <c r="AE95" s="279"/>
      <c r="AF95" s="279"/>
      <c r="AG95" s="279"/>
      <c r="AH95" s="279"/>
    </row>
    <row r="96" spans="1:36" x14ac:dyDescent="0.25">
      <c r="A96" s="169" t="s">
        <v>287</v>
      </c>
      <c r="B96" s="278" t="s">
        <v>306</v>
      </c>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row>
    <row r="97" spans="1:36" x14ac:dyDescent="0.25">
      <c r="A97" s="169" t="s">
        <v>288</v>
      </c>
      <c r="B97" s="279" t="s">
        <v>305</v>
      </c>
      <c r="C97" s="279"/>
      <c r="D97" s="279"/>
      <c r="E97" s="279"/>
      <c r="F97" s="279"/>
      <c r="G97" s="279"/>
      <c r="H97" s="279"/>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row>
    <row r="98" spans="1:36" x14ac:dyDescent="0.25">
      <c r="G98" s="323"/>
      <c r="H98" s="323"/>
      <c r="I98" s="323"/>
      <c r="J98" s="323"/>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3"/>
      <c r="AH98" s="323"/>
      <c r="AI98" s="323"/>
      <c r="AJ98" s="323"/>
    </row>
    <row r="99" spans="1:36" x14ac:dyDescent="0.25">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3"/>
      <c r="AH99" s="323"/>
      <c r="AI99" s="323"/>
      <c r="AJ99" s="323"/>
    </row>
    <row r="100" spans="1:36" x14ac:dyDescent="0.25">
      <c r="A100" s="341" t="s">
        <v>334</v>
      </c>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row>
    <row r="101" spans="1:36" x14ac:dyDescent="0.25">
      <c r="A101" s="323" t="s">
        <v>335</v>
      </c>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3"/>
      <c r="AH101" s="323"/>
    </row>
  </sheetData>
  <mergeCells count="130">
    <mergeCell ref="O4:V4"/>
    <mergeCell ref="W4:AH4"/>
    <mergeCell ref="A100:AH100"/>
    <mergeCell ref="A101:AH101"/>
    <mergeCell ref="G98:AJ98"/>
    <mergeCell ref="G99:AJ99"/>
    <mergeCell ref="B40:AH40"/>
    <mergeCell ref="B49:AH49"/>
    <mergeCell ref="B50:AH50"/>
    <mergeCell ref="B55:AH55"/>
    <mergeCell ref="B56:AH56"/>
    <mergeCell ref="E4:N4"/>
    <mergeCell ref="B28:AH28"/>
    <mergeCell ref="W7:AH7"/>
    <mergeCell ref="A20:AH20"/>
    <mergeCell ref="O8:V8"/>
    <mergeCell ref="E6:N7"/>
    <mergeCell ref="W8:AH8"/>
    <mergeCell ref="E14:H14"/>
    <mergeCell ref="I14:L14"/>
    <mergeCell ref="M14:P14"/>
    <mergeCell ref="O5:V5"/>
    <mergeCell ref="O6:V6"/>
    <mergeCell ref="O7:V7"/>
    <mergeCell ref="A1:AH1"/>
    <mergeCell ref="A2:AH2"/>
    <mergeCell ref="A3:AH3"/>
    <mergeCell ref="A4:D4"/>
    <mergeCell ref="A5:D5"/>
    <mergeCell ref="A69:AH69"/>
    <mergeCell ref="B70:AH70"/>
    <mergeCell ref="B57:AH57"/>
    <mergeCell ref="B58:AH58"/>
    <mergeCell ref="B59:AH59"/>
    <mergeCell ref="B60:AH60"/>
    <mergeCell ref="B51:AH51"/>
    <mergeCell ref="B52:AH52"/>
    <mergeCell ref="B53:AH53"/>
    <mergeCell ref="B54:AH54"/>
    <mergeCell ref="B45:AH45"/>
    <mergeCell ref="A47:AH47"/>
    <mergeCell ref="B48:AH48"/>
    <mergeCell ref="B22:AH22"/>
    <mergeCell ref="B23:AH23"/>
    <mergeCell ref="B24:AH24"/>
    <mergeCell ref="B35:AH35"/>
    <mergeCell ref="W5:AH5"/>
    <mergeCell ref="W6:AH6"/>
    <mergeCell ref="J8:N8"/>
    <mergeCell ref="E8:I8"/>
    <mergeCell ref="E5:N5"/>
    <mergeCell ref="A8:D8"/>
    <mergeCell ref="A6:D7"/>
    <mergeCell ref="B41:AH41"/>
    <mergeCell ref="B42:AH42"/>
    <mergeCell ref="B43:AH43"/>
    <mergeCell ref="B44:AH44"/>
    <mergeCell ref="B10:AH10"/>
    <mergeCell ref="A14:D14"/>
    <mergeCell ref="B26:AH26"/>
    <mergeCell ref="B29:AH29"/>
    <mergeCell ref="B30:AH30"/>
    <mergeCell ref="B31:AH31"/>
    <mergeCell ref="B32:AH32"/>
    <mergeCell ref="A34:AH34"/>
    <mergeCell ref="B36:AH36"/>
    <mergeCell ref="B37:AH37"/>
    <mergeCell ref="B38:AH38"/>
    <mergeCell ref="B39:AH39"/>
    <mergeCell ref="B33:AH33"/>
    <mergeCell ref="B21:AH21"/>
    <mergeCell ref="B25:AH25"/>
    <mergeCell ref="B27:AH27"/>
    <mergeCell ref="B73:AH73"/>
    <mergeCell ref="B74:AH74"/>
    <mergeCell ref="B75:AH75"/>
    <mergeCell ref="B76:AH76"/>
    <mergeCell ref="B77:AH77"/>
    <mergeCell ref="B78:AH78"/>
    <mergeCell ref="B61:AH61"/>
    <mergeCell ref="B65:AH65"/>
    <mergeCell ref="B62:AH62"/>
    <mergeCell ref="B63:AH63"/>
    <mergeCell ref="B66:AH66"/>
    <mergeCell ref="B67:AH67"/>
    <mergeCell ref="B64:AH64"/>
    <mergeCell ref="B71:AH71"/>
    <mergeCell ref="B72:AH72"/>
    <mergeCell ref="B96:AH96"/>
    <mergeCell ref="B97:AH97"/>
    <mergeCell ref="B89:AH89"/>
    <mergeCell ref="B79:AH79"/>
    <mergeCell ref="B80:AH80"/>
    <mergeCell ref="B81:AH81"/>
    <mergeCell ref="B82:AH82"/>
    <mergeCell ref="B83:AH83"/>
    <mergeCell ref="B84:AH84"/>
    <mergeCell ref="B90:AH90"/>
    <mergeCell ref="B92:AH92"/>
    <mergeCell ref="B93:AH93"/>
    <mergeCell ref="B94:AH94"/>
    <mergeCell ref="B95:AH95"/>
    <mergeCell ref="B91:AH91"/>
    <mergeCell ref="B85:AH85"/>
    <mergeCell ref="B86:AH86"/>
    <mergeCell ref="B87:AH87"/>
    <mergeCell ref="B88:AH88"/>
    <mergeCell ref="A12:AH12"/>
    <mergeCell ref="A13:AH13"/>
    <mergeCell ref="A17:AH17"/>
    <mergeCell ref="Y15:AB15"/>
    <mergeCell ref="AC15:AF15"/>
    <mergeCell ref="A16:D16"/>
    <mergeCell ref="E16:H16"/>
    <mergeCell ref="I16:L16"/>
    <mergeCell ref="M16:P16"/>
    <mergeCell ref="Q16:T16"/>
    <mergeCell ref="U16:X16"/>
    <mergeCell ref="Y16:AB16"/>
    <mergeCell ref="AC16:AF16"/>
    <mergeCell ref="Q14:T14"/>
    <mergeCell ref="U14:X14"/>
    <mergeCell ref="Y14:AB14"/>
    <mergeCell ref="AC14:AF14"/>
    <mergeCell ref="A15:D15"/>
    <mergeCell ref="E15:H15"/>
    <mergeCell ref="I15:L15"/>
    <mergeCell ref="M15:P15"/>
    <mergeCell ref="Q15:T15"/>
    <mergeCell ref="U15:X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Y514"/>
  <sheetViews>
    <sheetView topLeftCell="J1"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81</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customHeight="1"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O15+NOV!P15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O16+NOV!P16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O17+NOV!P17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O18+NOV!P18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O19+NOV!P19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O20+NOV!P20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O21+NOV!P21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O22+NOV!P22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O23+NOV!P23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O24+NOV!P24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143"/>
      <c r="K25" s="70"/>
      <c r="L25" s="52"/>
      <c r="M25" s="8"/>
      <c r="N25" s="7"/>
      <c r="O25" s="218">
        <f t="shared" si="0"/>
        <v>0</v>
      </c>
      <c r="P25" s="218">
        <f>O25+NOV!P25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O26+NOV!P26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143"/>
      <c r="K27" s="70"/>
      <c r="L27" s="52"/>
      <c r="M27" s="8"/>
      <c r="N27" s="7"/>
      <c r="O27" s="218">
        <f t="shared" si="0"/>
        <v>0</v>
      </c>
      <c r="P27" s="218">
        <f>O27+NOV!P27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O28+NOV!P28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O29+NOV!P29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144"/>
      <c r="K30" s="71"/>
      <c r="L30" s="53"/>
      <c r="M30" s="2"/>
      <c r="N30" s="1"/>
      <c r="O30" s="218">
        <f t="shared" si="0"/>
        <v>0</v>
      </c>
      <c r="P30" s="218">
        <f>O30+NOV!P30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O31+NOV!P31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O32+NOV!P32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O33+NOV!P33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O34+NOV!P34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O35+NOV!P35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O36+NOV!P36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O37+NOV!P37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O38+NOV!P38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O39+NOV!P39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O40+NOV!P40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O41+NOV!P41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O42+NOV!P42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O43+NOV!P43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O44+NOV!P44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O45+NOV!P45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O46+NOV!P46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O47+NOV!P47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O48+NOV!P48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O49+NOV!P49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O50+NOV!P50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O51+NOV!P51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O52+NOV!P52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O53+NOV!P53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O54+NOV!P54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O55+NOV!P55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O56+NOV!P56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O57+NOV!P57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O58+NOV!P58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O59+NOV!P59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O60+NOV!P60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O61+NOV!P61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O62+NOV!P62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O63+NOV!P63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O64+NOV!P64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O65+NOV!P65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O66+NOV!P66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O67+NOV!P67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O68+NOV!P68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O69+NOV!P69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O70+NOV!P70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O71+NOV!P71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O72+NOV!P72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O73+NOV!P73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O74+NOV!P74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O75+NOV!P75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O76+NOV!P76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O77+NOV!P77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O78+NOV!P78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O79+NOV!P79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O80+NOV!P80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O81+NOV!P81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O82+NOV!P82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O83+NOV!P83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O84+NOV!P84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O85+NOV!P85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O86+NOV!P86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O87+NOV!P87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O88+NOV!P88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O89+NOV!P89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O90+NOV!P90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O91+NOV!P91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O92+NOV!P92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O93+NOV!P93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O94+NOV!P94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O95+NOV!P95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O96+NOV!P96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O97+NOV!P97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O98+NOV!P98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O99+NOV!P99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O100+NOV!P100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O101+NOV!P101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O102+NOV!P102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O103+NOV!P103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O104+NOV!P104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O105+NOV!P105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O106+NOV!P106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O107+NOV!P107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O108+NOV!P108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O109+NOV!P109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O110+NOV!P110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O111+NOV!P111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O112+NOV!P112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O113+NOV!P113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O114+NOV!P114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O115+NOV!P115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O116+NOV!P116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O117+NOV!P117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O118+NOV!P118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O119+NOV!P119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O120+NOV!P120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O121+NOV!P121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O122+NOV!P122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O123+NOV!P123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O124+NOV!P124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O125+NOV!P125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O126+NOV!P126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O127+NOV!P127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O128+NOV!P128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O129+NOV!P129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O130+NOV!P130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O131+NOV!P131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O132+NOV!P132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O133+NOV!P133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O134+NOV!P134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O135+NOV!P135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O136+NOV!P136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O137+NOV!P137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O138+NOV!P138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O139+NOV!P139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O140+NOV!P140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O141+NOV!P141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O142+NOV!P142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O143+NOV!P143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O144+NOV!P144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O145+NOV!P145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O146+NOV!P146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O147+NOV!P147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O148+NOV!P148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O149+NOV!P149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O150+NOV!P150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O151+NOV!P151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O152+NOV!P152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O153+NOV!P153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O154+NOV!P154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O155+NOV!P155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O156+NOV!P156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O157+NOV!P157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O158+NOV!P158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O159+NOV!P159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O160+NOV!P160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O161+NOV!P161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O162+NOV!P162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O163+NOV!P163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O164+NOV!P164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O165+NOV!P165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O166+NOV!P166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O167+NOV!P167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O168+NOV!P168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O169+NOV!P169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O170+NOV!P170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O171+NOV!P171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O172+NOV!P172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O173+NOV!P173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O174+NOV!P174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O175+NOV!P175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O176+NOV!P176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O177+NOV!P177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O178+NOV!P178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O179+NOV!P179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O180+NOV!P180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O181+NOV!P181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O182+NOV!P182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O183+NOV!P183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O184+NOV!P184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O185+NOV!P185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O186+NOV!P186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O187+NOV!P187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O188+NOV!P188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O189+NOV!P189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O190+NOV!P190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O191+NOV!P191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O192+NOV!P192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O193+NOV!P193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O194+NOV!P194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O195+NOV!P195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O196+NOV!P196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O197+NOV!P197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O198+NOV!P198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O199+NOV!P199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O200+NOV!P200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O201+NOV!P201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O202+NOV!P202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O203+NOV!P203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O204+NOV!P204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O205+NOV!P205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O206+NOV!P206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O207+NOV!P207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O208+NOV!P208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O209+NOV!P209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O210+NOV!P210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O211+NOV!P211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O212+NOV!P212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O213+NOV!P213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O214+NOV!P214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O215+NOV!P215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O216+NOV!P216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O217+NOV!P217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O218+NOV!P218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O219+NOV!P219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O220+NOV!P220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O221+NOV!P221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O222+NOV!P222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O223+NOV!P223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O224+NOV!P224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O225+NOV!P225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O226+NOV!P226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O227+NOV!P227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O228+NOV!P228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O229+NOV!P229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O230+NOV!P230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O231+NOV!P231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O232+NOV!P232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O233+NOV!P233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O234+NOV!P234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O235+NOV!P235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O236+NOV!P236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O237+NOV!P237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O238+NOV!P238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O239+NOV!P239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O240+NOV!P240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O241+NOV!P241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O242+NOV!P242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O243+NOV!P243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O244+NOV!P244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O245+NOV!P245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O246+NOV!P246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O247+NOV!P247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O248+NOV!P248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O249+NOV!P249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O250+NOV!P250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O251+NOV!P251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O252+NOV!P252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O253+NOV!P253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O254+NOV!P254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O255+NOV!P255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O256+NOV!P256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O257+NOV!P257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O258+NOV!P258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O259+NOV!P259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O260+NOV!P260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O261+NOV!P261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O262+NOV!P262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O263+NOV!P263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O264+NOV!P264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O265+NOV!P265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O266+NOV!P266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O267+NOV!P267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O268+NOV!P268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O269+NOV!P269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O270+NOV!P270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O271+NOV!P271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O272+NOV!P272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O273+NOV!P273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O274+NOV!P274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O275+NOV!P275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O276+NOV!P276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O277+NOV!P277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O278+NOV!P278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O279+NOV!P279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O280+NOV!P280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O281+NOV!P281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O282+NOV!P282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O283+NOV!P283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O284+NOV!P284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O285+NOV!P285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O286+NOV!P286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O287+NOV!P287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O288+NOV!P288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O289+NOV!P289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O290+NOV!P290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O291+NOV!P291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O292+NOV!P292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O293+NOV!P293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O294+NOV!P294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O295+NOV!P295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O296+NOV!P296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O297+NOV!P297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O298+NOV!P298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O299+NOV!P299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O300+NOV!P300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O301+NOV!P301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O302+NOV!P302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O303+NOV!P303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O304+NOV!P304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O305+NOV!P305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O306+NOV!P306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O307+NOV!P307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O308+NOV!P308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O309+NOV!P309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O310+NOV!P310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O311+NOV!P311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O312+NOV!P312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O313+NOV!P313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O314+NOV!P314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O315+NOV!P315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O316+NOV!P316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O317+NOV!P317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O318+NOV!P318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O319+NOV!P319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O320+NOV!P320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O321+NOV!P321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O322+NOV!P322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O323+NOV!P323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O324+NOV!P324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O325+NOV!P325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O326+NOV!P326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O327+NOV!P327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O328+NOV!P328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O329+NOV!P329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O330+NOV!P330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O331+NOV!P331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O332+NOV!P332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O333+NOV!P333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O334+NOV!P334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O335+NOV!P335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O336+NOV!P336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O337+NOV!P337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O338+NOV!P338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O339+NOV!P339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O340+NOV!P340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O341+NOV!P341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O342+NOV!P342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O343+NOV!P343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O344+NOV!P344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O345+NOV!P345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O346+NOV!P346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O347+NOV!P347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O348+NOV!P348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O349+NOV!P349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O350+NOV!P350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O351+NOV!P351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O352+NOV!P352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O353+NOV!P353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O354+NOV!P354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O355+NOV!P355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O356+NOV!P356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O357+NOV!P357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O358+NOV!P358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O359+NOV!P359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O360+NOV!P360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O361+NOV!P361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O362+NOV!P362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O363+NOV!P363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O364+NOV!P364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O365+NOV!P365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O366+NOV!P366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O367+NOV!P367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O368+NOV!P368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O369+NOV!P369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O370+NOV!P370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O371+NOV!P371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O372+NOV!P372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O373+NOV!P373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O374+NOV!P374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O375+NOV!P375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O376+NOV!P376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O377+NOV!P377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O378+NOV!P378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O379+NOV!P379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O380+NOV!P380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O381+NOV!P381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O382+NOV!P382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O383+NOV!P383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O384+NOV!P384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O385+NOV!P385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O386+NOV!P386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O387+NOV!P387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O388+NOV!P388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O389+NOV!P389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O390+NOV!P390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O391+NOV!P391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O392+NOV!P392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O393+NOV!P393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O394+NOV!P394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O395+NOV!P395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O396+NOV!P396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O397+NOV!P397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O398+NOV!P398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O399+NOV!P399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O400+NOV!P400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O401+NOV!P401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O402+NOV!P402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O403+NOV!P403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O404+NOV!P404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O405+NOV!P405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O406+NOV!P406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O407+NOV!P407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O408+NOV!P408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O409+NOV!P409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O410+NOV!P410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O411+NOV!P411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O412+NOV!P412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O413+NOV!P413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O414+NOV!P414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O415+NOV!P415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O416+NOV!P416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O417+NOV!P417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O418+NOV!P418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O419+NOV!P419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O420+NOV!P420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O421+NOV!P421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O422+NOV!P422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O423+NOV!P423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O424+NOV!P424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O425+NOV!P425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O426+NOV!P426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O427+NOV!P427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O428+NOV!P428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O429+NOV!P429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O430+NOV!P430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O431+NOV!P431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O432+NOV!P432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O433+NOV!P433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O434+NOV!P434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O435+NOV!P435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O436+NOV!P436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O437+NOV!P437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O438+NOV!P438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O439+NOV!P439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O440+NOV!P440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O441+NOV!P441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O442+NOV!P442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O443+NOV!P443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O444+NOV!P444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O445+NOV!P445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O446+NOV!P446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O447+NOV!P447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O448+NOV!P448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O449+NOV!P449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O450+NOV!P450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O451+NOV!P451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O452+NOV!P452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O453+NOV!P453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O454+NOV!P454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O455+NOV!P455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O456+NOV!P456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O457+NOV!P457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O458+NOV!P458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O459+NOV!P459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O460+NOV!P460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O461+NOV!P461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O462+NOV!P462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O463+NOV!P463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O464+NOV!P464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O465+NOV!P465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O466+NOV!P466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O467+NOV!P467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O468+NOV!P468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O469+NOV!P469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O470+NOV!P470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O471+NOV!P471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O472+NOV!P472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O473+NOV!P473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O474+NOV!P474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O475+NOV!P475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O476+NOV!P476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O477+NOV!P477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O478+NOV!P478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O479+NOV!P479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O480+NOV!P480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O481+NOV!P481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O482+NOV!P482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O483+NOV!P483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O484+NOV!P484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O485+NOV!P485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O486+NOV!P486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O487+NOV!P487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O488+NOV!P488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O489+NOV!P489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O490+NOV!P490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O491+NOV!P491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O492+NOV!P492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O493+NOV!P493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O494+NOV!P494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O495+NOV!P495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O496+NOV!P496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O497+NOV!P497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O498+NOV!P498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O499+NOV!P499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O500+NOV!P500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O501+NOV!P501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O502+NOV!P502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O503+NOV!P503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O504+NOV!P504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O505+NOV!P505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O506+NOV!P506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O507+NOV!P507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O508+NOV!P508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O509+NOV!P509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O510+NOV!P510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O511+NOV!P511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O512+NOV!P512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O513+NOV!P513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O514+NOV!P514</f>
        <v>0</v>
      </c>
      <c r="Q514" s="60"/>
      <c r="R514" s="52"/>
      <c r="S514" s="66"/>
      <c r="T514" s="65"/>
      <c r="U514" s="68"/>
      <c r="V514" s="59"/>
      <c r="W514" s="6">
        <f>'CLIENT ENROLLMENT DISCHARGE '!M514</f>
        <v>0</v>
      </c>
      <c r="X514" s="76"/>
      <c r="Y514" s="180"/>
    </row>
  </sheetData>
  <sheetProtection algorithmName="SHA-512" hashValue="ukbePlmDx/RrI2nopC1cUYqIfI1NCCvgVjrm1uN7CI+1GXR6UtoPwFcyui2KCbnNJBaEWBkOUvufyaRqWzwEJg==" saltValue="i6O4YYYArvuy8/rM12WbpQ=="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24" priority="2">
      <formula>$W15="YES"</formula>
    </cfRule>
  </conditionalFormatting>
  <conditionalFormatting sqref="A15:X514">
    <cfRule type="expression" dxfId="23" priority="1">
      <formula>$X15="YES"</formula>
    </cfRule>
  </conditionalFormatting>
  <conditionalFormatting sqref="H15:I514">
    <cfRule type="expression" dxfId="22" priority="815">
      <formula>$H15="Other (Specify) "</formula>
    </cfRule>
  </conditionalFormatting>
  <dataValidations count="4">
    <dataValidation allowBlank="1" showInputMessage="1" showErrorMessage="1" prompt="auto populates" sqref="B15:C514" xr:uid="{00000000-0002-0000-0900-000000000000}"/>
    <dataValidation allowBlank="1" showInputMessage="1" showErrorMessage="1" prompt="Note Section for Column H" sqref="I15:I514" xr:uid="{00000000-0002-0000-0900-000001000000}"/>
    <dataValidation allowBlank="1" showInputMessage="1" showErrorMessage="1" prompt="will auto populate" sqref="W15:W514" xr:uid="{00000000-0002-0000-0900-000002000000}"/>
    <dataValidation allowBlank="1" showInputMessage="1" showErrorMessage="1" prompt="Use MM/DD/YYYY format.  Leave blank until date is needed. " sqref="J15:J514" xr:uid="{00000000-0002-0000-09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900-000004000000}">
          <x14:formula1>
            <xm:f>'drop down list '!$P$15:$P$20</xm:f>
          </x14:formula1>
          <xm:sqref>G9:I9</xm:sqref>
        </x14:dataValidation>
        <x14:dataValidation type="list" allowBlank="1" showInputMessage="1" showErrorMessage="1" xr:uid="{00000000-0002-0000-0900-000005000000}">
          <x14:formula1>
            <xm:f>'drop down list '!$N$12:$N$23</xm:f>
          </x14:formula1>
          <xm:sqref>E9:F9</xm:sqref>
        </x14:dataValidation>
        <x14:dataValidation type="list" allowBlank="1" showInputMessage="1" showErrorMessage="1" xr:uid="{00000000-0002-0000-0900-000006000000}">
          <x14:formula1>
            <xm:f>'drop down list '!$G$14:$G$18</xm:f>
          </x14:formula1>
          <xm:sqref>V15:V514</xm:sqref>
        </x14:dataValidation>
        <x14:dataValidation type="list" allowBlank="1" showInputMessage="1" showErrorMessage="1" xr:uid="{00000000-0002-0000-0900-000007000000}">
          <x14:formula1>
            <xm:f>'drop down list '!$G$24:$G$29</xm:f>
          </x14:formula1>
          <xm:sqref>U15:U514</xm:sqref>
        </x14:dataValidation>
        <x14:dataValidation type="list" allowBlank="1" showInputMessage="1" showErrorMessage="1" xr:uid="{00000000-0002-0000-0900-000008000000}">
          <x14:formula1>
            <xm:f>'drop down list '!$A$21:$A$23</xm:f>
          </x14:formula1>
          <xm:sqref>Q15:Q514</xm:sqref>
        </x14:dataValidation>
        <x14:dataValidation type="list" allowBlank="1" showInputMessage="1" showErrorMessage="1" xr:uid="{00000000-0002-0000-0900-000009000000}">
          <x14:formula1>
            <xm:f>'drop down list '!$C$2:$C$4</xm:f>
          </x14:formula1>
          <xm:sqref>H15:H514</xm:sqref>
        </x14:dataValidation>
        <x14:dataValidation type="list" allowBlank="1" showInputMessage="1" showErrorMessage="1" xr:uid="{00000000-0002-0000-0900-00000A000000}">
          <x14:formula1>
            <xm:f>'drop down list '!$A$3:$A$4</xm:f>
          </x14:formula1>
          <xm:sqref>D15:G514 L15:L514 R15:R514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Y514"/>
  <sheetViews>
    <sheetView topLeftCell="J1"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83</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O15+DEC!P15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O16+DEC!P16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O17+DEC!P17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O18+DEC!P18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O19+DEC!P19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O20+DEC!P20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O21+DEC!P21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O22+DEC!P22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O23+DEC!P23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O24+DEC!P24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O25+DEC!P25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O26+DEC!P26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143"/>
      <c r="K27" s="70"/>
      <c r="L27" s="52"/>
      <c r="M27" s="8"/>
      <c r="N27" s="7"/>
      <c r="O27" s="218">
        <f t="shared" si="0"/>
        <v>0</v>
      </c>
      <c r="P27" s="218">
        <f>O27+DEC!P27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O28+DEC!P28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O29+DEC!P29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O30+DEC!P30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O31+DEC!P31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O32+DEC!P32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O33+DEC!P33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O34+DEC!P34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O35+DEC!P35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O36+DEC!P36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O37+DEC!P37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O38+DEC!P38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O39+DEC!P39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O40+DEC!P40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O41+DEC!P41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O42+DEC!P42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O43+DEC!P43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O44+DEC!P44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O45+DEC!P45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O46+DEC!P46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O47+DEC!P47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O48+DEC!P48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O49+DEC!P49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O50+DEC!P50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O51+DEC!P51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O52+DEC!P52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O53+DEC!P53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O54+DEC!P54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O55+DEC!P55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O56+DEC!P56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O57+DEC!P57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O58+DEC!P58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O59+DEC!P59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O60+DEC!P60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O61+DEC!P61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O62+DEC!P62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O63+DEC!P63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O64+DEC!P64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O65+DEC!P65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O66+DEC!P66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O67+DEC!P67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O68+DEC!P68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O69+DEC!P69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O70+DEC!P70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O71+DEC!P71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O72+DEC!P72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O73+DEC!P73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O74+DEC!P74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O75+DEC!P75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O76+DEC!P76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O77+DEC!P77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O78+DEC!P78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O79+DEC!P79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O80+DEC!P80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O81+DEC!P81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O82+DEC!P82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O83+DEC!P83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O84+DEC!P84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O85+DEC!P85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O86+DEC!P86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O87+DEC!P87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O88+DEC!P88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O89+DEC!P89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O90+DEC!P90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O91+DEC!P91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O92+DEC!P92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O93+DEC!P93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O94+DEC!P94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O95+DEC!P95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O96+DEC!P96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O97+DEC!P97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O98+DEC!P98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O99+DEC!P99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O100+DEC!P100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O101+DEC!P101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O102+DEC!P102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O103+DEC!P103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O104+DEC!P104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O105+DEC!P105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O106+DEC!P106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O107+DEC!P107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O108+DEC!P108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O109+DEC!P109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O110+DEC!P110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O111+DEC!P111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O112+DEC!P112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O113+DEC!P113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O114+DEC!P114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O115+DEC!P115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O116+DEC!P116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O117+DEC!P117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O118+DEC!P118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O119+DEC!P119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O120+DEC!P120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O121+DEC!P121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O122+DEC!P122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O123+DEC!P123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O124+DEC!P124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O125+DEC!P125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O126+DEC!P126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O127+DEC!P127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O128+DEC!P128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O129+DEC!P129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O130+DEC!P130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O131+DEC!P131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O132+DEC!P132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O133+DEC!P133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O134+DEC!P134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O135+DEC!P135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O136+DEC!P136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O137+DEC!P137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O138+DEC!P138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O139+DEC!P139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O140+DEC!P140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O141+DEC!P141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O142+DEC!P142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O143+DEC!P143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O144+DEC!P144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O145+DEC!P145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O146+DEC!P146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O147+DEC!P147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O148+DEC!P148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O149+DEC!P149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O150+DEC!P150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O151+DEC!P151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O152+DEC!P152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O153+DEC!P153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O154+DEC!P154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O155+DEC!P155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O156+DEC!P156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O157+DEC!P157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O158+DEC!P158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O159+DEC!P159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O160+DEC!P160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O161+DEC!P161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O162+DEC!P162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O163+DEC!P163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O164+DEC!P164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O165+DEC!P165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O166+DEC!P166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O167+DEC!P167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O168+DEC!P168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O169+DEC!P169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O170+DEC!P170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O171+DEC!P171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O172+DEC!P172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O173+DEC!P173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O174+DEC!P174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O175+DEC!P175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O176+DEC!P176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O177+DEC!P177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O178+DEC!P178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O179+DEC!P179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O180+DEC!P180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O181+DEC!P181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O182+DEC!P182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O183+DEC!P183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O184+DEC!P184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O185+DEC!P185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O186+DEC!P186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O187+DEC!P187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O188+DEC!P188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O189+DEC!P189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O190+DEC!P190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O191+DEC!P191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O192+DEC!P192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O193+DEC!P193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O194+DEC!P194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O195+DEC!P195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O196+DEC!P196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O197+DEC!P197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O198+DEC!P198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O199+DEC!P199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O200+DEC!P200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O201+DEC!P201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O202+DEC!P202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O203+DEC!P203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O204+DEC!P204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O205+DEC!P205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O206+DEC!P206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O207+DEC!P207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O208+DEC!P208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O209+DEC!P209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O210+DEC!P210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O211+DEC!P211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O212+DEC!P212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O213+DEC!P213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O214+DEC!P214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O215+DEC!P215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O216+DEC!P216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O217+DEC!P217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O218+DEC!P218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O219+DEC!P219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O220+DEC!P220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O221+DEC!P221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O222+DEC!P222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O223+DEC!P223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O224+DEC!P224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O225+DEC!P225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O226+DEC!P226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O227+DEC!P227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O228+DEC!P228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O229+DEC!P229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O230+DEC!P230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O231+DEC!P231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O232+DEC!P232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O233+DEC!P233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O234+DEC!P234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O235+DEC!P235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O236+DEC!P236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O237+DEC!P237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O238+DEC!P238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O239+DEC!P239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O240+DEC!P240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O241+DEC!P241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O242+DEC!P242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O243+DEC!P243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O244+DEC!P244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O245+DEC!P245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O246+DEC!P246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O247+DEC!P247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O248+DEC!P248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O249+DEC!P249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O250+DEC!P250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O251+DEC!P251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O252+DEC!P252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O253+DEC!P253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O254+DEC!P254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O255+DEC!P255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O256+DEC!P256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O257+DEC!P257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O258+DEC!P258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O259+DEC!P259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O260+DEC!P260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O261+DEC!P261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O262+DEC!P262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O263+DEC!P263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O264+DEC!P264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O265+DEC!P265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O266+DEC!P266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O267+DEC!P267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O268+DEC!P268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O269+DEC!P269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O270+DEC!P270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O271+DEC!P271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O272+DEC!P272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O273+DEC!P273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O274+DEC!P274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O275+DEC!P275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O276+DEC!P276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O277+DEC!P277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O278+DEC!P278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O279+DEC!P279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O280+DEC!P280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O281+DEC!P281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O282+DEC!P282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O283+DEC!P283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O284+DEC!P284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O285+DEC!P285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O286+DEC!P286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O287+DEC!P287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O288+DEC!P288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O289+DEC!P289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O290+DEC!P290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O291+DEC!P291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O292+DEC!P292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O293+DEC!P293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O294+DEC!P294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O295+DEC!P295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O296+DEC!P296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O297+DEC!P297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O298+DEC!P298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O299+DEC!P299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O300+DEC!P300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O301+DEC!P301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O302+DEC!P302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O303+DEC!P303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O304+DEC!P304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O305+DEC!P305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O306+DEC!P306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O307+DEC!P307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O308+DEC!P308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O309+DEC!P309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O310+DEC!P310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O311+DEC!P311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O312+DEC!P312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O313+DEC!P313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O314+DEC!P314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O315+DEC!P315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O316+DEC!P316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O317+DEC!P317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O318+DEC!P318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O319+DEC!P319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O320+DEC!P320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O321+DEC!P321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O322+DEC!P322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O323+DEC!P323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O324+DEC!P324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O325+DEC!P325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O326+DEC!P326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O327+DEC!P327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O328+DEC!P328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O329+DEC!P329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O330+DEC!P330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O331+DEC!P331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O332+DEC!P332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O333+DEC!P333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O334+DEC!P334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O335+DEC!P335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O336+DEC!P336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O337+DEC!P337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O338+DEC!P338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O339+DEC!P339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O340+DEC!P340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O341+DEC!P341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O342+DEC!P342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O343+DEC!P343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O344+DEC!P344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O345+DEC!P345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O346+DEC!P346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O347+DEC!P347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O348+DEC!P348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O349+DEC!P349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O350+DEC!P350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O351+DEC!P351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O352+DEC!P352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O353+DEC!P353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O354+DEC!P354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O355+DEC!P355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O356+DEC!P356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O357+DEC!P357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O358+DEC!P358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O359+DEC!P359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O360+DEC!P360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O361+DEC!P361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O362+DEC!P362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O363+DEC!P363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O364+DEC!P364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O365+DEC!P365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O366+DEC!P366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O367+DEC!P367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O368+DEC!P368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O369+DEC!P369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O370+DEC!P370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O371+DEC!P371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O372+DEC!P372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O373+DEC!P373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O374+DEC!P374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O375+DEC!P375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O376+DEC!P376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O377+DEC!P377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O378+DEC!P378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O379+DEC!P379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O380+DEC!P380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O381+DEC!P381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O382+DEC!P382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O383+DEC!P383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O384+DEC!P384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O385+DEC!P385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O386+DEC!P386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O387+DEC!P387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O388+DEC!P388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O389+DEC!P389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O390+DEC!P390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O391+DEC!P391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O392+DEC!P392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O393+DEC!P393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O394+DEC!P394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O395+DEC!P395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O396+DEC!P396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O397+DEC!P397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O398+DEC!P398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O399+DEC!P399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O400+DEC!P400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O401+DEC!P401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O402+DEC!P402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O403+DEC!P403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O404+DEC!P404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O405+DEC!P405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O406+DEC!P406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O407+DEC!P407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O408+DEC!P408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O409+DEC!P409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O410+DEC!P410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O411+DEC!P411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O412+DEC!P412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O413+DEC!P413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O414+DEC!P414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O415+DEC!P415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O416+DEC!P416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O417+DEC!P417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O418+DEC!P418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O419+DEC!P419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O420+DEC!P420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O421+DEC!P421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O422+DEC!P422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O423+DEC!P423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O424+DEC!P424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O425+DEC!P425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O426+DEC!P426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O427+DEC!P427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O428+DEC!P428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O429+DEC!P429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O430+DEC!P430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O431+DEC!P431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O432+DEC!P432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O433+DEC!P433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O434+DEC!P434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O435+DEC!P435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O436+DEC!P436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O437+DEC!P437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O438+DEC!P438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O439+DEC!P439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O440+DEC!P440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O441+DEC!P441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O442+DEC!P442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O443+DEC!P443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O444+DEC!P444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O445+DEC!P445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O446+DEC!P446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O447+DEC!P447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O448+DEC!P448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O449+DEC!P449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O450+DEC!P450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O451+DEC!P451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O452+DEC!P452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O453+DEC!P453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O454+DEC!P454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O455+DEC!P455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O456+DEC!P456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O457+DEC!P457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O458+DEC!P458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O459+DEC!P459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O460+DEC!P460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O461+DEC!P461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O462+DEC!P462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O463+DEC!P463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O464+DEC!P464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O465+DEC!P465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O466+DEC!P466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O467+DEC!P467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O468+DEC!P468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O469+DEC!P469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O470+DEC!P470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O471+DEC!P471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O472+DEC!P472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O473+DEC!P473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O474+DEC!P474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O475+DEC!P475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O476+DEC!P476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O477+DEC!P477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O478+DEC!P478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O479+DEC!P479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O480+DEC!P480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O481+DEC!P481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O482+DEC!P482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O483+DEC!P483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O484+DEC!P484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O485+DEC!P485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O486+DEC!P486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O487+DEC!P487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O488+DEC!P488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O489+DEC!P489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O490+DEC!P490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O491+DEC!P491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O492+DEC!P492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O493+DEC!P493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O494+DEC!P494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O495+DEC!P495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O496+DEC!P496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O497+DEC!P497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O498+DEC!P498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O499+DEC!P499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O500+DEC!P500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O501+DEC!P501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O502+DEC!P502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O503+DEC!P503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O504+DEC!P504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O505+DEC!P505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O506+DEC!P506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O507+DEC!P507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O508+DEC!P508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O509+DEC!P509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O510+DEC!P510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O511+DEC!P511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O512+DEC!P512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O513+DEC!P513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O514+DEC!P514</f>
        <v>0</v>
      </c>
      <c r="Q514" s="60"/>
      <c r="R514" s="52"/>
      <c r="S514" s="66"/>
      <c r="T514" s="65"/>
      <c r="U514" s="68"/>
      <c r="V514" s="59"/>
      <c r="W514" s="6">
        <f>'CLIENT ENROLLMENT DISCHARGE '!M514</f>
        <v>0</v>
      </c>
      <c r="X514" s="76"/>
      <c r="Y514" s="180"/>
    </row>
  </sheetData>
  <sheetProtection algorithmName="SHA-512" hashValue="2lgqyYyLLQV11oAIHk4hM+W4DLZkOEpB/eJ+zvErLeJRS43AIjOjIyTMbxIgVLIjpZPuHXYda+QgaXn86NKufg==" saltValue="FVnXqRt1EllSkvBbQYJIDA=="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21" priority="2">
      <formula>$W15="YES"</formula>
    </cfRule>
  </conditionalFormatting>
  <conditionalFormatting sqref="A15:X514">
    <cfRule type="expression" dxfId="20" priority="1">
      <formula>$X15="YES"</formula>
    </cfRule>
  </conditionalFormatting>
  <conditionalFormatting sqref="H15:I514">
    <cfRule type="expression" dxfId="19" priority="811">
      <formula>$H15="Other (Specify) "</formula>
    </cfRule>
  </conditionalFormatting>
  <dataValidations count="4">
    <dataValidation allowBlank="1" showInputMessage="1" showErrorMessage="1" prompt="Use MM/DD/YYYY format.  Leave blank until date is needed. " sqref="J15:J514" xr:uid="{00000000-0002-0000-0A00-000000000000}"/>
    <dataValidation allowBlank="1" showInputMessage="1" showErrorMessage="1" prompt="will auto populate" sqref="W15:W514" xr:uid="{00000000-0002-0000-0A00-000001000000}"/>
    <dataValidation allowBlank="1" showInputMessage="1" showErrorMessage="1" prompt="Note Section for Column H" sqref="I15:I514" xr:uid="{00000000-0002-0000-0A00-000002000000}"/>
    <dataValidation allowBlank="1" showInputMessage="1" showErrorMessage="1" prompt="auto populates" sqref="B15:C514" xr:uid="{00000000-0002-0000-0A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4000000}">
          <x14:formula1>
            <xm:f>'drop down list '!$A$3:$A$4</xm:f>
          </x14:formula1>
          <xm:sqref>D15:G514 L15:L514 R15:R514</xm:sqref>
        </x14:dataValidation>
        <x14:dataValidation type="list" allowBlank="1" showInputMessage="1" showErrorMessage="1" xr:uid="{00000000-0002-0000-0A00-000005000000}">
          <x14:formula1>
            <xm:f>'drop down list '!$C$2:$C$4</xm:f>
          </x14:formula1>
          <xm:sqref>H15:H514</xm:sqref>
        </x14:dataValidation>
        <x14:dataValidation type="list" allowBlank="1" showInputMessage="1" showErrorMessage="1" xr:uid="{00000000-0002-0000-0A00-000006000000}">
          <x14:formula1>
            <xm:f>'drop down list '!$A$21:$A$23</xm:f>
          </x14:formula1>
          <xm:sqref>Q15:Q514</xm:sqref>
        </x14:dataValidation>
        <x14:dataValidation type="list" allowBlank="1" showInputMessage="1" showErrorMessage="1" xr:uid="{00000000-0002-0000-0A00-000007000000}">
          <x14:formula1>
            <xm:f>'drop down list '!$G$24:$G$29</xm:f>
          </x14:formula1>
          <xm:sqref>U15:U514</xm:sqref>
        </x14:dataValidation>
        <x14:dataValidation type="list" allowBlank="1" showInputMessage="1" showErrorMessage="1" xr:uid="{00000000-0002-0000-0A00-000008000000}">
          <x14:formula1>
            <xm:f>'drop down list '!$G$14:$G$18</xm:f>
          </x14:formula1>
          <xm:sqref>V15:V514</xm:sqref>
        </x14:dataValidation>
        <x14:dataValidation type="list" allowBlank="1" showInputMessage="1" showErrorMessage="1" xr:uid="{00000000-0002-0000-0A00-000009000000}">
          <x14:formula1>
            <xm:f>'drop down list '!$N$12:$N$23</xm:f>
          </x14:formula1>
          <xm:sqref>E9:F9</xm:sqref>
        </x14:dataValidation>
        <x14:dataValidation type="list" allowBlank="1" showInputMessage="1" showErrorMessage="1" xr:uid="{00000000-0002-0000-0A00-00000A000000}">
          <x14:formula1>
            <xm:f>'drop down list '!$P$15:$P$20</xm:f>
          </x14:formula1>
          <xm:sqref>G9:I9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Y514"/>
  <sheetViews>
    <sheetView topLeftCell="J1" zoomScale="110" zoomScaleNormal="110" workbookViewId="0">
      <pane ySplit="1" topLeftCell="A509" activePane="bottomLeft" state="frozen"/>
      <selection pane="bottomLeft" activeCell="Y510" sqref="Y510"/>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143</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O15+JAN!P15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O16+JAN!P16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O17+JAN!P17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O18+JAN!P18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O19+JAN!P19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O20+JAN!P20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O21+JAN!P21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O22+JAN!P22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O23+JAN!P23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O24+JAN!P24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O25+JAN!P25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O26+JAN!P26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9"/>
      <c r="K27" s="70"/>
      <c r="L27" s="52"/>
      <c r="M27" s="8"/>
      <c r="N27" s="7"/>
      <c r="O27" s="218">
        <f t="shared" si="0"/>
        <v>0</v>
      </c>
      <c r="P27" s="218">
        <f>O27+JAN!P27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O28+JAN!P28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O29+JAN!P29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O30+JAN!P30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O31+JAN!P31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O32+JAN!P32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O33+JAN!P33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O34+JAN!P34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O35+JAN!P35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O36+JAN!P36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O37+JAN!P37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O38+JAN!P38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O39+JAN!P39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O40+JAN!P40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O41+JAN!P41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O42+JAN!P42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O43+JAN!P43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O44+JAN!P44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O45+JAN!P45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O46+JAN!P46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O47+JAN!P47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O48+JAN!P48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O49+JAN!P49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O50+JAN!P50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O51+JAN!P51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O52+JAN!P52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O53+JAN!P53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O54+JAN!P54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O55+JAN!P55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O56+JAN!P56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O57+JAN!P57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O58+JAN!P58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O59+JAN!P59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O60+JAN!P60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O61+JAN!P61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O62+JAN!P62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O63+JAN!P63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O64+JAN!P64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O65+JAN!P65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O66+JAN!P66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O67+JAN!P67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O68+JAN!P68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O69+JAN!P69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O70+JAN!P70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O71+JAN!P71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O72+JAN!P72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O73+JAN!P73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O74+JAN!P74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O75+JAN!P75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O76+JAN!P76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O77+JAN!P77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O78+JAN!P78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O79+JAN!P79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O80+JAN!P80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O81+JAN!P81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O82+JAN!P82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O83+JAN!P83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O84+JAN!P84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O85+JAN!P85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O86+JAN!P86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O87+JAN!P87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O88+JAN!P88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O89+JAN!P89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O90+JAN!P90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O91+JAN!P91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O92+JAN!P92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O93+JAN!P93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O94+JAN!P94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O95+JAN!P95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O96+JAN!P96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O97+JAN!P97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O98+JAN!P98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O99+JAN!P99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O100+JAN!P100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O101+JAN!P101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O102+JAN!P102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O103+JAN!P103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O104+JAN!P104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O105+JAN!P105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O106+JAN!P106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O107+JAN!P107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O108+JAN!P108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O109+JAN!P109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O110+JAN!P110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O111+JAN!P111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O112+JAN!P112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O113+JAN!P113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O114+JAN!P114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O115+JAN!P115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O116+JAN!P116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O117+JAN!P117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O118+JAN!P118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O119+JAN!P119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O120+JAN!P120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O121+JAN!P121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O122+JAN!P122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O123+JAN!P123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O124+JAN!P124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O125+JAN!P125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O126+JAN!P126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O127+JAN!P127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O128+JAN!P128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O129+JAN!P129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O130+JAN!P130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O131+JAN!P131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O132+JAN!P132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O133+JAN!P133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O134+JAN!P134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O135+JAN!P135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O136+JAN!P136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O137+JAN!P137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O138+JAN!P138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O139+JAN!P139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O140+JAN!P140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O141+JAN!P141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O142+JAN!P142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O143+JAN!P143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O144+JAN!P144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O145+JAN!P145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O146+JAN!P146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O147+JAN!P147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O148+JAN!P148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O149+JAN!P149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O150+JAN!P150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O151+JAN!P151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O152+JAN!P152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O153+JAN!P153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O154+JAN!P154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O155+JAN!P155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O156+JAN!P156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O157+JAN!P157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O158+JAN!P158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O159+JAN!P159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O160+JAN!P160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O161+JAN!P161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O162+JAN!P162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O163+JAN!P163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O164+JAN!P164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O165+JAN!P165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O166+JAN!P166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O167+JAN!P167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O168+JAN!P168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O169+JAN!P169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O170+JAN!P170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O171+JAN!P171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O172+JAN!P172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O173+JAN!P173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O174+JAN!P174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O175+JAN!P175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O176+JAN!P176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O177+JAN!P177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O178+JAN!P178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O179+JAN!P179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O180+JAN!P180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O181+JAN!P181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O182+JAN!P182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O183+JAN!P183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O184+JAN!P184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O185+JAN!P185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O186+JAN!P186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O187+JAN!P187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O188+JAN!P188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O189+JAN!P189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O190+JAN!P190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O191+JAN!P191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O192+JAN!P192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O193+JAN!P193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O194+JAN!P194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O195+JAN!P195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O196+JAN!P196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O197+JAN!P197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O198+JAN!P198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O199+JAN!P199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O200+JAN!P200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O201+JAN!P201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O202+JAN!P202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O203+JAN!P203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O204+JAN!P204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O205+JAN!P205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O206+JAN!P206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O207+JAN!P207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O208+JAN!P208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O209+JAN!P209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O210+JAN!P210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O211+JAN!P211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O212+JAN!P212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O213+JAN!P213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O214+JAN!P214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O215+JAN!P215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O216+JAN!P216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O217+JAN!P217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O218+JAN!P218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O219+JAN!P219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O220+JAN!P220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O221+JAN!P221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O222+JAN!P222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O223+JAN!P223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O224+JAN!P224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O225+JAN!P225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O226+JAN!P226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O227+JAN!P227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O228+JAN!P228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O229+JAN!P229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O230+JAN!P230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O231+JAN!P231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O232+JAN!P232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O233+JAN!P233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O234+JAN!P234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O235+JAN!P235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O236+JAN!P236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O237+JAN!P237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O238+JAN!P238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O239+JAN!P239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O240+JAN!P240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O241+JAN!P241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O242+JAN!P242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O243+JAN!P243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O244+JAN!P244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O245+JAN!P245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O246+JAN!P246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O247+JAN!P247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O248+JAN!P248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O249+JAN!P249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O250+JAN!P250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O251+JAN!P251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O252+JAN!P252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O253+JAN!P253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O254+JAN!P254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O255+JAN!P255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O256+JAN!P256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O257+JAN!P257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O258+JAN!P258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O259+JAN!P259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O260+JAN!P260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O261+JAN!P261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O262+JAN!P262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O263+JAN!P263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O264+JAN!P264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O265+JAN!P265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O266+JAN!P266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O267+JAN!P267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O268+JAN!P268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O269+JAN!P269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O270+JAN!P270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O271+JAN!P271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O272+JAN!P272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O273+JAN!P273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O274+JAN!P274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O275+JAN!P275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O276+JAN!P276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O277+JAN!P277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O278+JAN!P278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O279+JAN!P279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O280+JAN!P280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O281+JAN!P281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O282+JAN!P282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O283+JAN!P283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O284+JAN!P284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O285+JAN!P285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O286+JAN!P286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O287+JAN!P287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O288+JAN!P288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O289+JAN!P289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O290+JAN!P290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O291+JAN!P291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O292+JAN!P292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O293+JAN!P293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O294+JAN!P294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O295+JAN!P295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O296+JAN!P296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O297+JAN!P297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O298+JAN!P298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O299+JAN!P299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O300+JAN!P300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O301+JAN!P301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O302+JAN!P302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O303+JAN!P303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O304+JAN!P304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O305+JAN!P305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O306+JAN!P306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O307+JAN!P307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O308+JAN!P308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O309+JAN!P309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O310+JAN!P310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O311+JAN!P311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O312+JAN!P312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O313+JAN!P313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O314+JAN!P314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O315+JAN!P315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O316+JAN!P316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O317+JAN!P317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O318+JAN!P318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O319+JAN!P319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O320+JAN!P320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O321+JAN!P321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O322+JAN!P322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O323+JAN!P323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O324+JAN!P324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O325+JAN!P325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O326+JAN!P326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O327+JAN!P327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O328+JAN!P328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O329+JAN!P329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O330+JAN!P330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O331+JAN!P331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O332+JAN!P332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O333+JAN!P333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O334+JAN!P334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O335+JAN!P335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O336+JAN!P336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O337+JAN!P337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O338+JAN!P338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O339+JAN!P339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O340+JAN!P340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O341+JAN!P341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O342+JAN!P342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O343+JAN!P343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O344+JAN!P344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O345+JAN!P345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O346+JAN!P346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O347+JAN!P347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O348+JAN!P348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O349+JAN!P349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O350+JAN!P350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O351+JAN!P351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O352+JAN!P352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O353+JAN!P353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O354+JAN!P354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O355+JAN!P355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O356+JAN!P356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O357+JAN!P357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O358+JAN!P358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O359+JAN!P359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O360+JAN!P360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O361+JAN!P361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O362+JAN!P362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O363+JAN!P363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O364+JAN!P364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O365+JAN!P365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O366+JAN!P366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O367+JAN!P367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O368+JAN!P368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O369+JAN!P369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O370+JAN!P370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O371+JAN!P371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O372+JAN!P372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O373+JAN!P373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O374+JAN!P374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O375+JAN!P375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O376+JAN!P376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O377+JAN!P377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O378+JAN!P378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O379+JAN!P379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O380+JAN!P380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O381+JAN!P381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O382+JAN!P382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O383+JAN!P383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O384+JAN!P384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O385+JAN!P385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O386+JAN!P386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O387+JAN!P387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O388+JAN!P388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O389+JAN!P389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O390+JAN!P390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O391+JAN!P391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O392+JAN!P392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O393+JAN!P393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O394+JAN!P394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O395+JAN!P395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O396+JAN!P396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O397+JAN!P397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O398+JAN!P398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O399+JAN!P399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O400+JAN!P400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O401+JAN!P401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O402+JAN!P402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O403+JAN!P403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O404+JAN!P404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O405+JAN!P405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O406+JAN!P406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O407+JAN!P407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O408+JAN!P408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O409+JAN!P409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O410+JAN!P410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O411+JAN!P411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O412+JAN!P412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O413+JAN!P413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O414+JAN!P414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O415+JAN!P415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O416+JAN!P416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O417+JAN!P417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O418+JAN!P418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O419+JAN!P419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O420+JAN!P420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O421+JAN!P421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O422+JAN!P422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O423+JAN!P423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O424+JAN!P424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O425+JAN!P425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O426+JAN!P426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O427+JAN!P427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O428+JAN!P428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O429+JAN!P429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O430+JAN!P430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O431+JAN!P431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O432+JAN!P432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O433+JAN!P433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O434+JAN!P434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O435+JAN!P435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O436+JAN!P436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O437+JAN!P437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O438+JAN!P438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O439+JAN!P439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O440+JAN!P440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O441+JAN!P441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O442+JAN!P442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O443+JAN!P443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O444+JAN!P444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O445+JAN!P445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O446+JAN!P446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O447+JAN!P447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O448+JAN!P448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O449+JAN!P449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O450+JAN!P450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O451+JAN!P451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O452+JAN!P452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O453+JAN!P453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O454+JAN!P454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O455+JAN!P455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O456+JAN!P456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O457+JAN!P457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O458+JAN!P458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O459+JAN!P459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O460+JAN!P460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O461+JAN!P461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O462+JAN!P462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O463+JAN!P463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O464+JAN!P464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O465+JAN!P465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O466+JAN!P466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O467+JAN!P467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O468+JAN!P468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O469+JAN!P469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O470+JAN!P470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O471+JAN!P471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O472+JAN!P472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O473+JAN!P473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O474+JAN!P474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O475+JAN!P475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O476+JAN!P476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O477+JAN!P477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O478+JAN!P478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O479+JAN!P479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O480+JAN!P480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O481+JAN!P481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O482+JAN!P482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O483+JAN!P483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O484+JAN!P484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O485+JAN!P485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O486+JAN!P486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O487+JAN!P487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O488+JAN!P488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O489+JAN!P489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O490+JAN!P490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O491+JAN!P491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O492+JAN!P492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O493+JAN!P493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O494+JAN!P494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O495+JAN!P495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O496+JAN!P496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O497+JAN!P497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O498+JAN!P498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O499+JAN!P499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O500+JAN!P500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O501+JAN!P501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O502+JAN!P502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O503+JAN!P503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O504+JAN!P504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O505+JAN!P505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O506+JAN!P506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O507+JAN!P507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O508+JAN!P508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O509+JAN!P509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O510+JAN!P510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O511+JAN!P511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O512+JAN!P512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O513+JAN!P513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O514+JAN!P514</f>
        <v>0</v>
      </c>
      <c r="Q514" s="60"/>
      <c r="R514" s="52"/>
      <c r="S514" s="66"/>
      <c r="T514" s="65"/>
      <c r="U514" s="68"/>
      <c r="V514" s="59"/>
      <c r="W514" s="6">
        <f>'CLIENT ENROLLMENT DISCHARGE '!M514</f>
        <v>0</v>
      </c>
      <c r="X514" s="76"/>
      <c r="Y514" s="180"/>
    </row>
  </sheetData>
  <sheetProtection algorithmName="SHA-512" hashValue="Swb4YBL6XvFVBjvNXyK1rDMzTgmnd4FxSovWZaA0cmi39572dvO8LPcWmJFiuSH8N4AGKF4T9MkAaukHBaGoyw==" saltValue="Jc4H8m3t7MR8mA71QmNllw=="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18" priority="2">
      <formula>$W15="YES"</formula>
    </cfRule>
  </conditionalFormatting>
  <conditionalFormatting sqref="A15:X514">
    <cfRule type="expression" dxfId="17" priority="1">
      <formula>$X15="YES"</formula>
    </cfRule>
  </conditionalFormatting>
  <conditionalFormatting sqref="H15:I514">
    <cfRule type="expression" dxfId="16" priority="811">
      <formula>$H15="Other (Specify) "</formula>
    </cfRule>
  </conditionalFormatting>
  <dataValidations count="4">
    <dataValidation allowBlank="1" showInputMessage="1" showErrorMessage="1" prompt="auto populates" sqref="B15:C514" xr:uid="{00000000-0002-0000-0B00-000000000000}"/>
    <dataValidation allowBlank="1" showInputMessage="1" showErrorMessage="1" prompt="Note Section for Column H" sqref="I15:I514" xr:uid="{00000000-0002-0000-0B00-000001000000}"/>
    <dataValidation allowBlank="1" showInputMessage="1" showErrorMessage="1" prompt="will auto populate" sqref="W15:W514" xr:uid="{00000000-0002-0000-0B00-000002000000}"/>
    <dataValidation allowBlank="1" showInputMessage="1" showErrorMessage="1" prompt="Use MM/DD/YYYY format.  Leave blank until date is needed. " sqref="J15:J514" xr:uid="{00000000-0002-0000-0B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B00-000004000000}">
          <x14:formula1>
            <xm:f>'drop down list '!$P$15:$P$20</xm:f>
          </x14:formula1>
          <xm:sqref>G9:I9</xm:sqref>
        </x14:dataValidation>
        <x14:dataValidation type="list" allowBlank="1" showInputMessage="1" showErrorMessage="1" xr:uid="{00000000-0002-0000-0B00-000005000000}">
          <x14:formula1>
            <xm:f>'drop down list '!$N$12:$N$23</xm:f>
          </x14:formula1>
          <xm:sqref>E9:F9</xm:sqref>
        </x14:dataValidation>
        <x14:dataValidation type="list" allowBlank="1" showInputMessage="1" showErrorMessage="1" xr:uid="{00000000-0002-0000-0B00-000006000000}">
          <x14:formula1>
            <xm:f>'drop down list '!$G$14:$G$18</xm:f>
          </x14:formula1>
          <xm:sqref>V15:V514</xm:sqref>
        </x14:dataValidation>
        <x14:dataValidation type="list" allowBlank="1" showInputMessage="1" showErrorMessage="1" xr:uid="{00000000-0002-0000-0B00-000007000000}">
          <x14:formula1>
            <xm:f>'drop down list '!$G$24:$G$29</xm:f>
          </x14:formula1>
          <xm:sqref>U15:U514</xm:sqref>
        </x14:dataValidation>
        <x14:dataValidation type="list" allowBlank="1" showInputMessage="1" showErrorMessage="1" xr:uid="{00000000-0002-0000-0B00-000008000000}">
          <x14:formula1>
            <xm:f>'drop down list '!$A$21:$A$23</xm:f>
          </x14:formula1>
          <xm:sqref>Q15:Q514</xm:sqref>
        </x14:dataValidation>
        <x14:dataValidation type="list" allowBlank="1" showInputMessage="1" showErrorMessage="1" xr:uid="{00000000-0002-0000-0B00-000009000000}">
          <x14:formula1>
            <xm:f>'drop down list '!$C$2:$C$4</xm:f>
          </x14:formula1>
          <xm:sqref>H15:H514</xm:sqref>
        </x14:dataValidation>
        <x14:dataValidation type="list" allowBlank="1" showInputMessage="1" showErrorMessage="1" xr:uid="{00000000-0002-0000-0B00-00000A000000}">
          <x14:formula1>
            <xm:f>'drop down list '!$A$3:$A$4</xm:f>
          </x14:formula1>
          <xm:sqref>D15:G514 L15:L514 R15:R514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Y514"/>
  <sheetViews>
    <sheetView topLeftCell="K1"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85</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O15+FEB!P15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O16+FEB!P16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O17+FEB!P17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O18+FEB!P18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O19+FEB!P19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O20+FEB!P20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O21+FEB!P21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O22+FEB!P22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O23+FEB!P23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O24+FEB!P24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O25+FEB!P25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O26+FEB!P26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9"/>
      <c r="K27" s="70"/>
      <c r="L27" s="52"/>
      <c r="M27" s="8"/>
      <c r="N27" s="7"/>
      <c r="O27" s="218">
        <f t="shared" si="0"/>
        <v>0</v>
      </c>
      <c r="P27" s="218">
        <f>O27+FEB!P27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O28+FEB!P28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O29+FEB!P29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O30+FEB!P30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O31+FEB!P31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O32+FEB!P32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O33+FEB!P33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O34+FEB!P34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O35+FEB!P35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O36+FEB!P36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O37+FEB!P37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O38+FEB!P38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O39+FEB!P39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O40+FEB!P40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O41+FEB!P41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O42+FEB!P42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O43+FEB!P43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O44+FEB!P44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O45+FEB!P45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O46+FEB!P46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O47+FEB!P47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O48+FEB!P48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O49+FEB!P49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O50+FEB!P50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O51+FEB!P51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O52+FEB!P52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O53+FEB!P53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O54+FEB!P54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O55+FEB!P55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O56+FEB!P56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O57+FEB!P57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O58+FEB!P58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O59+FEB!P59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O60+FEB!P60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O61+FEB!P61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O62+FEB!P62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O63+FEB!P63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O64+FEB!P64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O65+FEB!P65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O66+FEB!P66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O67+FEB!P67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O68+FEB!P68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O69+FEB!P69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O70+FEB!P70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O71+FEB!P71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O72+FEB!P72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O73+FEB!P73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O74+FEB!P74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O75+FEB!P75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O76+FEB!P76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O77+FEB!P77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O78+FEB!P78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O79+FEB!P79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O80+FEB!P80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O81+FEB!P81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O82+FEB!P82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O83+FEB!P83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O84+FEB!P84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O85+FEB!P85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O86+FEB!P86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O87+FEB!P87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O88+FEB!P88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O89+FEB!P89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O90+FEB!P90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O91+FEB!P91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O92+FEB!P92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O93+FEB!P93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O94+FEB!P94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O95+FEB!P95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O96+FEB!P96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O97+FEB!P97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O98+FEB!P98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O99+FEB!P99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O100+FEB!P100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O101+FEB!P101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O102+FEB!P102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O103+FEB!P103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O104+FEB!P104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O105+FEB!P105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O106+FEB!P106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O107+FEB!P107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O108+FEB!P108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O109+FEB!P109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O110+FEB!P110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O111+FEB!P111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O112+FEB!P112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O113+FEB!P113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O114+FEB!P114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O115+FEB!P115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O116+FEB!P116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O117+FEB!P117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O118+FEB!P118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O119+FEB!P119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O120+FEB!P120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O121+FEB!P121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O122+FEB!P122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O123+FEB!P123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O124+FEB!P124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O125+FEB!P125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O126+FEB!P126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O127+FEB!P127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O128+FEB!P128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O129+FEB!P129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O130+FEB!P130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O131+FEB!P131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O132+FEB!P132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O133+FEB!P133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O134+FEB!P134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O135+FEB!P135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O136+FEB!P136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O137+FEB!P137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O138+FEB!P138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O139+FEB!P139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O140+FEB!P140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O141+FEB!P141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O142+FEB!P142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O143+FEB!P143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O144+FEB!P144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O145+FEB!P145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O146+FEB!P146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O147+FEB!P147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O148+FEB!P148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O149+FEB!P149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O150+FEB!P150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O151+FEB!P151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O152+FEB!P152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O153+FEB!P153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O154+FEB!P154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O155+FEB!P155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O156+FEB!P156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O157+FEB!P157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O158+FEB!P158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O159+FEB!P159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O160+FEB!P160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O161+FEB!P161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O162+FEB!P162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O163+FEB!P163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O164+FEB!P164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O165+FEB!P165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O166+FEB!P166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O167+FEB!P167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O168+FEB!P168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O169+FEB!P169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O170+FEB!P170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O171+FEB!P171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O172+FEB!P172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O173+FEB!P173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O174+FEB!P174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O175+FEB!P175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O176+FEB!P176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O177+FEB!P177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O178+FEB!P178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O179+FEB!P179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O180+FEB!P180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O181+FEB!P181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O182+FEB!P182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O183+FEB!P183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O184+FEB!P184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O185+FEB!P185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O186+FEB!P186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O187+FEB!P187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O188+FEB!P188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O189+FEB!P189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O190+FEB!P190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O191+FEB!P191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O192+FEB!P192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O193+FEB!P193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O194+FEB!P194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O195+FEB!P195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O196+FEB!P196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O197+FEB!P197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O198+FEB!P198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O199+FEB!P199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O200+FEB!P200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O201+FEB!P201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O202+FEB!P202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O203+FEB!P203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O204+FEB!P204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O205+FEB!P205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O206+FEB!P206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O207+FEB!P207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O208+FEB!P208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O209+FEB!P209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O210+FEB!P210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O211+FEB!P211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O212+FEB!P212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O213+FEB!P213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O214+FEB!P214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O215+FEB!P215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O216+FEB!P216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O217+FEB!P217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O218+FEB!P218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O219+FEB!P219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O220+FEB!P220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O221+FEB!P221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O222+FEB!P222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O223+FEB!P223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O224+FEB!P224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O225+FEB!P225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O226+FEB!P226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O227+FEB!P227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O228+FEB!P228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O229+FEB!P229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O230+FEB!P230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O231+FEB!P231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O232+FEB!P232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O233+FEB!P233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O234+FEB!P234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O235+FEB!P235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O236+FEB!P236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O237+FEB!P237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O238+FEB!P238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O239+FEB!P239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O240+FEB!P240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O241+FEB!P241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O242+FEB!P242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O243+FEB!P243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O244+FEB!P244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O245+FEB!P245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O246+FEB!P246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O247+FEB!P247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O248+FEB!P248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O249+FEB!P249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O250+FEB!P250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O251+FEB!P251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O252+FEB!P252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O253+FEB!P253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O254+FEB!P254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O255+FEB!P255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O256+FEB!P256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O257+FEB!P257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O258+FEB!P258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O259+FEB!P259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O260+FEB!P260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O261+FEB!P261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O262+FEB!P262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O263+FEB!P263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O264+FEB!P264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O265+FEB!P265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O266+FEB!P266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O267+FEB!P267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O268+FEB!P268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O269+FEB!P269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O270+FEB!P270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O271+FEB!P271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O272+FEB!P272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O273+FEB!P273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O274+FEB!P274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O275+FEB!P275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O276+FEB!P276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O277+FEB!P277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O278+FEB!P278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O279+FEB!P279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O280+FEB!P280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O281+FEB!P281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O282+FEB!P282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O283+FEB!P283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O284+FEB!P284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O285+FEB!P285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O286+FEB!P286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O287+FEB!P287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O288+FEB!P288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O289+FEB!P289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O290+FEB!P290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O291+FEB!P291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O292+FEB!P292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O293+FEB!P293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O294+FEB!P294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O295+FEB!P295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O296+FEB!P296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O297+FEB!P297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O298+FEB!P298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O299+FEB!P299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O300+FEB!P300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O301+FEB!P301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O302+FEB!P302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O303+FEB!P303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O304+FEB!P304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O305+FEB!P305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O306+FEB!P306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O307+FEB!P307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O308+FEB!P308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O309+FEB!P309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O310+FEB!P310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O311+FEB!P311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O312+FEB!P312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O313+FEB!P313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O314+FEB!P314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O315+FEB!P315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O316+FEB!P316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O317+FEB!P317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O318+FEB!P318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O319+FEB!P319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O320+FEB!P320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O321+FEB!P321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O322+FEB!P322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O323+FEB!P323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O324+FEB!P324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O325+FEB!P325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O326+FEB!P326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O327+FEB!P327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O328+FEB!P328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O329+FEB!P329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O330+FEB!P330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O331+FEB!P331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O332+FEB!P332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O333+FEB!P333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O334+FEB!P334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O335+FEB!P335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O336+FEB!P336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O337+FEB!P337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O338+FEB!P338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O339+FEB!P339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O340+FEB!P340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O341+FEB!P341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O342+FEB!P342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O343+FEB!P343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O344+FEB!P344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O345+FEB!P345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O346+FEB!P346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O347+FEB!P347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O348+FEB!P348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O349+FEB!P349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O350+FEB!P350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O351+FEB!P351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O352+FEB!P352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O353+FEB!P353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O354+FEB!P354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O355+FEB!P355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O356+FEB!P356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O357+FEB!P357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O358+FEB!P358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O359+FEB!P359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O360+FEB!P360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O361+FEB!P361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O362+FEB!P362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O363+FEB!P363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O364+FEB!P364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O365+FEB!P365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O366+FEB!P366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O367+FEB!P367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O368+FEB!P368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O369+FEB!P369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O370+FEB!P370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O371+FEB!P371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O372+FEB!P372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O373+FEB!P373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O374+FEB!P374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O375+FEB!P375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O376+FEB!P376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O377+FEB!P377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O378+FEB!P378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O379+FEB!P379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O380+FEB!P380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O381+FEB!P381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O382+FEB!P382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O383+FEB!P383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O384+FEB!P384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O385+FEB!P385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O386+FEB!P386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O387+FEB!P387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O388+FEB!P388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O389+FEB!P389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O390+FEB!P390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O391+FEB!P391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O392+FEB!P392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O393+FEB!P393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O394+FEB!P394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O395+FEB!P395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O396+FEB!P396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O397+FEB!P397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O398+FEB!P398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O399+FEB!P399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O400+FEB!P400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O401+FEB!P401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O402+FEB!P402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O403+FEB!P403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O404+FEB!P404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O405+FEB!P405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O406+FEB!P406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O407+FEB!P407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O408+FEB!P408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O409+FEB!P409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O410+FEB!P410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O411+FEB!P411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O412+FEB!P412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O413+FEB!P413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O414+FEB!P414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O415+FEB!P415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O416+FEB!P416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O417+FEB!P417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O418+FEB!P418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O419+FEB!P419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O420+FEB!P420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O421+FEB!P421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O422+FEB!P422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O423+FEB!P423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O424+FEB!P424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O425+FEB!P425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O426+FEB!P426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O427+FEB!P427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O428+FEB!P428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O429+FEB!P429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O430+FEB!P430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O431+FEB!P431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O432+FEB!P432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O433+FEB!P433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O434+FEB!P434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O435+FEB!P435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O436+FEB!P436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O437+FEB!P437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O438+FEB!P438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O439+FEB!P439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O440+FEB!P440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O441+FEB!P441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O442+FEB!P442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O443+FEB!P443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O444+FEB!P444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O445+FEB!P445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O446+FEB!P446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O447+FEB!P447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O448+FEB!P448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O449+FEB!P449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O450+FEB!P450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O451+FEB!P451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O452+FEB!P452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O453+FEB!P453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O454+FEB!P454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O455+FEB!P455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O456+FEB!P456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O457+FEB!P457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O458+FEB!P458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O459+FEB!P459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O460+FEB!P460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O461+FEB!P461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O462+FEB!P462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O463+FEB!P463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O464+FEB!P464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O465+FEB!P465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O466+FEB!P466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O467+FEB!P467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O468+FEB!P468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O469+FEB!P469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O470+FEB!P470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O471+FEB!P471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O472+FEB!P472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O473+FEB!P473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O474+FEB!P474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O475+FEB!P475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O476+FEB!P476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O477+FEB!P477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O478+FEB!P478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O479+FEB!P479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O480+FEB!P480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O481+FEB!P481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O482+FEB!P482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O483+FEB!P483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O484+FEB!P484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O485+FEB!P485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O486+FEB!P486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O487+FEB!P487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O488+FEB!P488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O489+FEB!P489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O490+FEB!P490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O491+FEB!P491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O492+FEB!P492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O493+FEB!P493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O494+FEB!P494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O495+FEB!P495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O496+FEB!P496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O497+FEB!P497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O498+FEB!P498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O499+FEB!P499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O500+FEB!P500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O501+FEB!P501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O502+FEB!P502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O503+FEB!P503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O504+FEB!P504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O505+FEB!P505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O506+FEB!P506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O507+FEB!P507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O508+FEB!P508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O509+FEB!P509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O510+FEB!P510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O511+FEB!P511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O512+FEB!P512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O513+FEB!P513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O514+FEB!P514</f>
        <v>0</v>
      </c>
      <c r="Q514" s="60"/>
      <c r="R514" s="52"/>
      <c r="S514" s="66"/>
      <c r="T514" s="65"/>
      <c r="U514" s="68"/>
      <c r="V514" s="59"/>
      <c r="W514" s="6">
        <f>'CLIENT ENROLLMENT DISCHARGE '!M514</f>
        <v>0</v>
      </c>
      <c r="X514" s="76"/>
      <c r="Y514" s="180"/>
    </row>
  </sheetData>
  <sheetProtection algorithmName="SHA-512" hashValue="cJXTsY7AtWMDsG4AcxyiPLdoe0j7a+90R+yy7/T9MzBYcHIqVs8uBlGmSmiz6gzfoSt5qBjk/Bx7HRE0Tok/DQ==" saltValue="cpJ8JEmb3gVsLPpryMnKYw=="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15" priority="2">
      <formula>$W15="YES"</formula>
    </cfRule>
  </conditionalFormatting>
  <conditionalFormatting sqref="A15:X514">
    <cfRule type="expression" dxfId="14" priority="1">
      <formula>$X15="YES"</formula>
    </cfRule>
  </conditionalFormatting>
  <conditionalFormatting sqref="H15:I514">
    <cfRule type="expression" dxfId="13" priority="811">
      <formula>$H15="Other (Specify) "</formula>
    </cfRule>
  </conditionalFormatting>
  <dataValidations count="4">
    <dataValidation allowBlank="1" showInputMessage="1" showErrorMessage="1" prompt="Use MM/DD/YYYY format.  Leave blank until date is needed. " sqref="J15:J514" xr:uid="{00000000-0002-0000-0C00-000000000000}"/>
    <dataValidation allowBlank="1" showInputMessage="1" showErrorMessage="1" prompt="will auto populate" sqref="W15:W514" xr:uid="{00000000-0002-0000-0C00-000001000000}"/>
    <dataValidation allowBlank="1" showInputMessage="1" showErrorMessage="1" prompt="Note Section for Column H" sqref="I15:I514" xr:uid="{00000000-0002-0000-0C00-000002000000}"/>
    <dataValidation allowBlank="1" showInputMessage="1" showErrorMessage="1" prompt="auto populates" sqref="B15:C514" xr:uid="{00000000-0002-0000-0C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C00-000004000000}">
          <x14:formula1>
            <xm:f>'drop down list '!$A$3:$A$4</xm:f>
          </x14:formula1>
          <xm:sqref>D15:G514 L15:L514 R15:R514</xm:sqref>
        </x14:dataValidation>
        <x14:dataValidation type="list" allowBlank="1" showInputMessage="1" showErrorMessage="1" xr:uid="{00000000-0002-0000-0C00-000005000000}">
          <x14:formula1>
            <xm:f>'drop down list '!$C$2:$C$4</xm:f>
          </x14:formula1>
          <xm:sqref>H15:H514</xm:sqref>
        </x14:dataValidation>
        <x14:dataValidation type="list" allowBlank="1" showInputMessage="1" showErrorMessage="1" xr:uid="{00000000-0002-0000-0C00-000006000000}">
          <x14:formula1>
            <xm:f>'drop down list '!$A$21:$A$23</xm:f>
          </x14:formula1>
          <xm:sqref>Q15:Q514</xm:sqref>
        </x14:dataValidation>
        <x14:dataValidation type="list" allowBlank="1" showInputMessage="1" showErrorMessage="1" xr:uid="{00000000-0002-0000-0C00-000007000000}">
          <x14:formula1>
            <xm:f>'drop down list '!$G$24:$G$29</xm:f>
          </x14:formula1>
          <xm:sqref>U15:U514</xm:sqref>
        </x14:dataValidation>
        <x14:dataValidation type="list" allowBlank="1" showInputMessage="1" showErrorMessage="1" xr:uid="{00000000-0002-0000-0C00-000008000000}">
          <x14:formula1>
            <xm:f>'drop down list '!$G$14:$G$18</xm:f>
          </x14:formula1>
          <xm:sqref>V15:V514</xm:sqref>
        </x14:dataValidation>
        <x14:dataValidation type="list" allowBlank="1" showInputMessage="1" showErrorMessage="1" xr:uid="{00000000-0002-0000-0C00-000009000000}">
          <x14:formula1>
            <xm:f>'drop down list '!$N$12:$N$23</xm:f>
          </x14:formula1>
          <xm:sqref>E9:F9</xm:sqref>
        </x14:dataValidation>
        <x14:dataValidation type="list" allowBlank="1" showInputMessage="1" showErrorMessage="1" xr:uid="{00000000-0002-0000-0C00-00000A000000}">
          <x14:formula1>
            <xm:f>'drop down list '!$P$15:$P$20</xm:f>
          </x14:formula1>
          <xm:sqref>G9:I9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Y514"/>
  <sheetViews>
    <sheetView topLeftCell="J1" zoomScale="110" zoomScaleNormal="110" workbookViewId="0">
      <pane ySplit="1" topLeftCell="A2" activePane="bottomLeft" state="frozen"/>
      <selection pane="bottomLeft" activeCell="Y15" sqref="Y15"/>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87</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O15+MAR!P15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O16+MAR!P16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O17+MAR!P17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O18+MAR!P18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O19+MAR!P19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O20+MAR!P20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O21+MAR!P21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O22+MAR!P22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O23+MAR!P23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O24+MAR!P24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O25+MAR!P25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O26+MAR!P26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9"/>
      <c r="K27" s="70"/>
      <c r="L27" s="52"/>
      <c r="M27" s="8"/>
      <c r="N27" s="7"/>
      <c r="O27" s="218">
        <f t="shared" si="0"/>
        <v>0</v>
      </c>
      <c r="P27" s="218">
        <f>O27+MAR!P27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O28+MAR!P28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O29+MAR!P29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O30+MAR!P30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O31+MAR!P31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O32+MAR!P32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O33+MAR!P33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O34+MAR!P34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O35+MAR!P35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O36+MAR!P36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O37+MAR!P37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O38+MAR!P38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O39+MAR!P39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O40+MAR!P40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O41+MAR!P41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O42+MAR!P42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O43+MAR!P43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O44+MAR!P44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O45+MAR!P45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O46+MAR!P46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O47+MAR!P47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O48+MAR!P48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O49+MAR!P49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O50+MAR!P50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O51+MAR!P51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O52+MAR!P52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O53+MAR!P53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O54+MAR!P54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O55+MAR!P55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O56+MAR!P56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O57+MAR!P57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O58+MAR!P58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O59+MAR!P59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O60+MAR!P60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O61+MAR!P61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O62+MAR!P62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O63+MAR!P63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O64+MAR!P64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O65+MAR!P65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O66+MAR!P66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O67+MAR!P67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O68+MAR!P68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O69+MAR!P69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O70+MAR!P70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O71+MAR!P71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O72+MAR!P72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O73+MAR!P73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O74+MAR!P74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O75+MAR!P75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O76+MAR!P76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O77+MAR!P77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O78+MAR!P78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O79+MAR!P79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O80+MAR!P80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O81+MAR!P81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O82+MAR!P82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O83+MAR!P83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O84+MAR!P84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O85+MAR!P85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O86+MAR!P86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O87+MAR!P87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O88+MAR!P88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O89+MAR!P89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O90+MAR!P90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O91+MAR!P91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O92+MAR!P92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O93+MAR!P93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O94+MAR!P94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O95+MAR!P95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O96+MAR!P96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O97+MAR!P97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O98+MAR!P98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O99+MAR!P99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O100+MAR!P100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O101+MAR!P101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O102+MAR!P102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O103+MAR!P103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O104+MAR!P104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O105+MAR!P105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O106+MAR!P106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O107+MAR!P107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O108+MAR!P108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O109+MAR!P109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O110+MAR!P110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O111+MAR!P111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O112+MAR!P112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O113+MAR!P113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O114+MAR!P114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O115+MAR!P115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O116+MAR!P116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O117+MAR!P117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O118+MAR!P118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O119+MAR!P119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O120+MAR!P120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O121+MAR!P121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O122+MAR!P122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O123+MAR!P123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O124+MAR!P124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O125+MAR!P125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O126+MAR!P126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O127+MAR!P127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O128+MAR!P128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O129+MAR!P129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O130+MAR!P130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O131+MAR!P131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O132+MAR!P132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O133+MAR!P133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O134+MAR!P134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O135+MAR!P135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O136+MAR!P136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O137+MAR!P137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O138+MAR!P138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O139+MAR!P139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O140+MAR!P140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O141+MAR!P141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O142+MAR!P142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O143+MAR!P143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O144+MAR!P144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O145+MAR!P145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O146+MAR!P146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O147+MAR!P147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O148+MAR!P148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O149+MAR!P149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O150+MAR!P150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O151+MAR!P151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O152+MAR!P152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O153+MAR!P153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O154+MAR!P154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O155+MAR!P155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O156+MAR!P156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O157+MAR!P157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O158+MAR!P158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O159+MAR!P159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O160+MAR!P160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O161+MAR!P161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O162+MAR!P162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O163+MAR!P163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O164+MAR!P164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O165+MAR!P165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O166+MAR!P166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O167+MAR!P167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O168+MAR!P168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O169+MAR!P169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O170+MAR!P170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O171+MAR!P171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O172+MAR!P172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O173+MAR!P173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O174+MAR!P174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O175+MAR!P175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O176+MAR!P176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O177+MAR!P177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O178+MAR!P178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O179+MAR!P179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O180+MAR!P180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O181+MAR!P181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O182+MAR!P182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O183+MAR!P183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O184+MAR!P184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O185+MAR!P185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O186+MAR!P186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O187+MAR!P187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O188+MAR!P188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O189+MAR!P189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O190+MAR!P190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O191+MAR!P191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O192+MAR!P192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O193+MAR!P193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O194+MAR!P194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O195+MAR!P195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O196+MAR!P196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O197+MAR!P197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O198+MAR!P198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O199+MAR!P199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O200+MAR!P200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O201+MAR!P201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O202+MAR!P202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O203+MAR!P203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O204+MAR!P204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O205+MAR!P205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O206+MAR!P206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O207+MAR!P207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O208+MAR!P208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O209+MAR!P209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O210+MAR!P210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O211+MAR!P211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O212+MAR!P212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O213+MAR!P213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O214+MAR!P214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O215+MAR!P215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O216+MAR!P216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O217+MAR!P217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O218+MAR!P218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O219+MAR!P219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O220+MAR!P220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O221+MAR!P221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O222+MAR!P222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O223+MAR!P223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O224+MAR!P224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O225+MAR!P225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O226+MAR!P226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O227+MAR!P227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O228+MAR!P228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O229+MAR!P229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O230+MAR!P230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O231+MAR!P231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O232+MAR!P232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O233+MAR!P233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O234+MAR!P234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O235+MAR!P235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O236+MAR!P236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O237+MAR!P237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O238+MAR!P238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O239+MAR!P239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O240+MAR!P240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O241+MAR!P241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O242+MAR!P242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O243+MAR!P243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O244+MAR!P244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O245+MAR!P245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O246+MAR!P246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O247+MAR!P247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O248+MAR!P248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O249+MAR!P249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O250+MAR!P250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O251+MAR!P251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O252+MAR!P252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O253+MAR!P253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O254+MAR!P254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O255+MAR!P255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O256+MAR!P256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O257+MAR!P257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O258+MAR!P258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O259+MAR!P259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O260+MAR!P260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O261+MAR!P261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O262+MAR!P262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O263+MAR!P263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O264+MAR!P264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O265+MAR!P265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O266+MAR!P266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O267+MAR!P267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O268+MAR!P268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O269+MAR!P269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O270+MAR!P270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O271+MAR!P271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O272+MAR!P272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O273+MAR!P273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O274+MAR!P274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O275+MAR!P275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O276+MAR!P276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O277+MAR!P277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O278+MAR!P278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O279+MAR!P279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O280+MAR!P280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O281+MAR!P281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O282+MAR!P282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O283+MAR!P283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O284+MAR!P284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O285+MAR!P285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O286+MAR!P286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O287+MAR!P287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O288+MAR!P288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O289+MAR!P289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O290+MAR!P290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O291+MAR!P291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O292+MAR!P292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O293+MAR!P293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O294+MAR!P294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O295+MAR!P295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O296+MAR!P296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O297+MAR!P297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O298+MAR!P298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O299+MAR!P299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O300+MAR!P300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O301+MAR!P301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O302+MAR!P302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O303+MAR!P303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O304+MAR!P304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O305+MAR!P305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O306+MAR!P306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O307+MAR!P307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O308+MAR!P308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O309+MAR!P309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O310+MAR!P310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O311+MAR!P311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O312+MAR!P312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O313+MAR!P313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O314+MAR!P314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O315+MAR!P315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O316+MAR!P316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O317+MAR!P317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O318+MAR!P318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O319+MAR!P319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O320+MAR!P320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O321+MAR!P321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O322+MAR!P322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O323+MAR!P323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O324+MAR!P324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O325+MAR!P325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O326+MAR!P326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O327+MAR!P327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O328+MAR!P328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O329+MAR!P329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O330+MAR!P330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O331+MAR!P331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O332+MAR!P332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O333+MAR!P333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O334+MAR!P334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O335+MAR!P335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O336+MAR!P336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O337+MAR!P337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O338+MAR!P338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O339+MAR!P339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O340+MAR!P340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O341+MAR!P341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O342+MAR!P342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O343+MAR!P343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O344+MAR!P344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O345+MAR!P345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O346+MAR!P346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O347+MAR!P347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O348+MAR!P348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O349+MAR!P349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O350+MAR!P350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O351+MAR!P351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O352+MAR!P352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O353+MAR!P353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O354+MAR!P354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O355+MAR!P355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O356+MAR!P356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O357+MAR!P357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O358+MAR!P358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O359+MAR!P359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O360+MAR!P360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O361+MAR!P361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O362+MAR!P362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O363+MAR!P363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O364+MAR!P364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O365+MAR!P365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O366+MAR!P366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O367+MAR!P367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O368+MAR!P368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O369+MAR!P369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O370+MAR!P370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O371+MAR!P371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O372+MAR!P372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O373+MAR!P373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O374+MAR!P374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O375+MAR!P375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O376+MAR!P376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O377+MAR!P377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O378+MAR!P378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O379+MAR!P379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O380+MAR!P380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O381+MAR!P381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O382+MAR!P382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O383+MAR!P383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O384+MAR!P384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O385+MAR!P385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O386+MAR!P386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O387+MAR!P387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O388+MAR!P388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O389+MAR!P389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O390+MAR!P390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O391+MAR!P391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O392+MAR!P392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O393+MAR!P393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O394+MAR!P394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O395+MAR!P395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O396+MAR!P396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O397+MAR!P397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O398+MAR!P398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O399+MAR!P399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O400+MAR!P400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O401+MAR!P401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O402+MAR!P402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O403+MAR!P403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O404+MAR!P404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O405+MAR!P405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O406+MAR!P406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O407+MAR!P407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O408+MAR!P408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O409+MAR!P409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O410+MAR!P410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O411+MAR!P411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O412+MAR!P412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O413+MAR!P413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O414+MAR!P414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O415+MAR!P415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O416+MAR!P416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O417+MAR!P417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O418+MAR!P418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O419+MAR!P419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O420+MAR!P420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O421+MAR!P421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O422+MAR!P422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O423+MAR!P423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O424+MAR!P424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O425+MAR!P425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O426+MAR!P426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O427+MAR!P427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O428+MAR!P428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O429+MAR!P429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O430+MAR!P430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O431+MAR!P431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O432+MAR!P432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O433+MAR!P433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O434+MAR!P434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O435+MAR!P435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O436+MAR!P436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O437+MAR!P437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O438+MAR!P438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O439+MAR!P439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O440+MAR!P440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O441+MAR!P441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O442+MAR!P442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O443+MAR!P443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O444+MAR!P444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O445+MAR!P445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O446+MAR!P446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O447+MAR!P447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O448+MAR!P448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O449+MAR!P449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O450+MAR!P450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O451+MAR!P451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O452+MAR!P452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O453+MAR!P453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O454+MAR!P454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O455+MAR!P455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O456+MAR!P456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O457+MAR!P457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O458+MAR!P458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O459+MAR!P459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O460+MAR!P460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O461+MAR!P461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O462+MAR!P462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O463+MAR!P463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O464+MAR!P464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O465+MAR!P465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O466+MAR!P466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O467+MAR!P467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O468+MAR!P468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O469+MAR!P469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O470+MAR!P470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O471+MAR!P471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O472+MAR!P472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O473+MAR!P473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O474+MAR!P474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O475+MAR!P475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O476+MAR!P476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O477+MAR!P477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O478+MAR!P478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O479+MAR!P479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O480+MAR!P480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O481+MAR!P481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O482+MAR!P482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O483+MAR!P483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O484+MAR!P484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O485+MAR!P485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O486+MAR!P486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O487+MAR!P487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O488+MAR!P488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O489+MAR!P489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O490+MAR!P490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O491+MAR!P491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O492+MAR!P492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O493+MAR!P493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O494+MAR!P494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O495+MAR!P495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O496+MAR!P496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O497+MAR!P497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O498+MAR!P498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O499+MAR!P499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O500+MAR!P500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O501+MAR!P501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O502+MAR!P502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O503+MAR!P503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O504+MAR!P504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O505+MAR!P505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O506+MAR!P506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O507+MAR!P507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O508+MAR!P508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O509+MAR!P509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O510+MAR!P510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O511+MAR!P511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O512+MAR!P512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O513+MAR!P513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O514+MAR!P514</f>
        <v>0</v>
      </c>
      <c r="Q514" s="60"/>
      <c r="R514" s="52"/>
      <c r="S514" s="66"/>
      <c r="T514" s="65"/>
      <c r="U514" s="68"/>
      <c r="V514" s="59"/>
      <c r="W514" s="6">
        <f>'CLIENT ENROLLMENT DISCHARGE '!M514</f>
        <v>0</v>
      </c>
      <c r="X514" s="76"/>
      <c r="Y514" s="180"/>
    </row>
  </sheetData>
  <sheetProtection algorithmName="SHA-512" hashValue="SJrqL5ytalXDdi2rpQyoQNnDivmMWdZg1VGJAh7Pl8/u/40uRp9WaYjeOREy8UENVynLbSZ8vCv9iG+oWRrKVQ==" saltValue="nGuan00pXpQLIGMNl+zQGg=="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12" priority="2">
      <formula>$W15="YES"</formula>
    </cfRule>
  </conditionalFormatting>
  <conditionalFormatting sqref="A15:X514">
    <cfRule type="expression" dxfId="11" priority="1">
      <formula>$X15="YES"</formula>
    </cfRule>
  </conditionalFormatting>
  <conditionalFormatting sqref="H15:I514">
    <cfRule type="expression" dxfId="10" priority="811">
      <formula>$H15="Other (Specify) "</formula>
    </cfRule>
  </conditionalFormatting>
  <dataValidations count="4">
    <dataValidation allowBlank="1" showInputMessage="1" showErrorMessage="1" prompt="auto populates" sqref="B15:C514" xr:uid="{00000000-0002-0000-0D00-000000000000}"/>
    <dataValidation allowBlank="1" showInputMessage="1" showErrorMessage="1" prompt="Note Section for Column H" sqref="I15:I514" xr:uid="{00000000-0002-0000-0D00-000001000000}"/>
    <dataValidation allowBlank="1" showInputMessage="1" showErrorMessage="1" prompt="will auto populate" sqref="W15:W514" xr:uid="{00000000-0002-0000-0D00-000002000000}"/>
    <dataValidation allowBlank="1" showInputMessage="1" showErrorMessage="1" prompt="Use MM/DD/YYYY format.  Leave blank until date is needed. " sqref="J15:J514" xr:uid="{00000000-0002-0000-0D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D00-000004000000}">
          <x14:formula1>
            <xm:f>'drop down list '!$P$15:$P$20</xm:f>
          </x14:formula1>
          <xm:sqref>G9:I9</xm:sqref>
        </x14:dataValidation>
        <x14:dataValidation type="list" allowBlank="1" showInputMessage="1" showErrorMessage="1" xr:uid="{00000000-0002-0000-0D00-000005000000}">
          <x14:formula1>
            <xm:f>'drop down list '!$N$12:$N$23</xm:f>
          </x14:formula1>
          <xm:sqref>E9:F9</xm:sqref>
        </x14:dataValidation>
        <x14:dataValidation type="list" allowBlank="1" showInputMessage="1" showErrorMessage="1" xr:uid="{00000000-0002-0000-0D00-000006000000}">
          <x14:formula1>
            <xm:f>'drop down list '!$G$14:$G$18</xm:f>
          </x14:formula1>
          <xm:sqref>V15:V514</xm:sqref>
        </x14:dataValidation>
        <x14:dataValidation type="list" allowBlank="1" showInputMessage="1" showErrorMessage="1" xr:uid="{00000000-0002-0000-0D00-000007000000}">
          <x14:formula1>
            <xm:f>'drop down list '!$G$24:$G$29</xm:f>
          </x14:formula1>
          <xm:sqref>U15:U514</xm:sqref>
        </x14:dataValidation>
        <x14:dataValidation type="list" allowBlank="1" showInputMessage="1" showErrorMessage="1" xr:uid="{00000000-0002-0000-0D00-000008000000}">
          <x14:formula1>
            <xm:f>'drop down list '!$A$21:$A$23</xm:f>
          </x14:formula1>
          <xm:sqref>Q15:Q514</xm:sqref>
        </x14:dataValidation>
        <x14:dataValidation type="list" allowBlank="1" showInputMessage="1" showErrorMessage="1" xr:uid="{00000000-0002-0000-0D00-000009000000}">
          <x14:formula1>
            <xm:f>'drop down list '!$C$2:$C$4</xm:f>
          </x14:formula1>
          <xm:sqref>H15:H514</xm:sqref>
        </x14:dataValidation>
        <x14:dataValidation type="list" allowBlank="1" showInputMessage="1" showErrorMessage="1" xr:uid="{00000000-0002-0000-0D00-00000A000000}">
          <x14:formula1>
            <xm:f>'drop down list '!$A$3:$A$4</xm:f>
          </x14:formula1>
          <xm:sqref>D15:G514 L15:L514 R15:R514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Y514"/>
  <sheetViews>
    <sheetView topLeftCell="J1" zoomScale="110" zoomScaleNormal="110" workbookViewId="0">
      <pane ySplit="1" topLeftCell="A513" activePane="bottomLeft" state="frozen"/>
      <selection pane="bottomLeft" activeCell="V15" sqref="V15:V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89</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O15+APR!P15</f>
        <v>0</v>
      </c>
      <c r="Q15" s="59" t="s">
        <v>86</v>
      </c>
      <c r="R15" s="51" t="s">
        <v>43</v>
      </c>
      <c r="S15" s="65" t="s">
        <v>338</v>
      </c>
      <c r="T15" s="64" t="s">
        <v>339</v>
      </c>
      <c r="U15" s="67" t="s">
        <v>98</v>
      </c>
      <c r="V15" s="74" t="s">
        <v>82</v>
      </c>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29" si="0">K16*N16</f>
        <v>0</v>
      </c>
      <c r="P16" s="218">
        <f>O16+APR!P16</f>
        <v>0</v>
      </c>
      <c r="Q16" s="60"/>
      <c r="R16" s="52" t="s">
        <v>43</v>
      </c>
      <c r="S16" s="66" t="s">
        <v>340</v>
      </c>
      <c r="T16" s="65" t="s">
        <v>337</v>
      </c>
      <c r="U16" s="68" t="s">
        <v>98</v>
      </c>
      <c r="V16" s="59" t="s">
        <v>82</v>
      </c>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O17+APR!P17</f>
        <v>0</v>
      </c>
      <c r="Q17" s="59" t="s">
        <v>90</v>
      </c>
      <c r="R17" s="51" t="s">
        <v>52</v>
      </c>
      <c r="S17" s="65" t="s">
        <v>0</v>
      </c>
      <c r="T17" s="64" t="s">
        <v>0</v>
      </c>
      <c r="U17" s="67" t="s">
        <v>96</v>
      </c>
      <c r="V17" s="74" t="s">
        <v>77</v>
      </c>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O18+APR!P18</f>
        <v>0</v>
      </c>
      <c r="Q18" s="60" t="s">
        <v>88</v>
      </c>
      <c r="R18" s="52" t="s">
        <v>43</v>
      </c>
      <c r="S18" s="66" t="s">
        <v>341</v>
      </c>
      <c r="T18" s="65" t="s">
        <v>350</v>
      </c>
      <c r="U18" s="68" t="s">
        <v>98</v>
      </c>
      <c r="V18" s="59" t="s">
        <v>82</v>
      </c>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O19+APR!P19</f>
        <v>0</v>
      </c>
      <c r="Q19" s="59" t="s">
        <v>90</v>
      </c>
      <c r="R19" s="51" t="s">
        <v>43</v>
      </c>
      <c r="S19" s="65" t="s">
        <v>343</v>
      </c>
      <c r="T19" s="64" t="s">
        <v>344</v>
      </c>
      <c r="U19" s="67" t="s">
        <v>98</v>
      </c>
      <c r="V19" s="74" t="s">
        <v>82</v>
      </c>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O20+APR!P20</f>
        <v>0</v>
      </c>
      <c r="Q20" s="60"/>
      <c r="R20" s="52"/>
      <c r="S20" s="66" t="s">
        <v>0</v>
      </c>
      <c r="T20" s="65" t="s">
        <v>0</v>
      </c>
      <c r="U20" s="68" t="s">
        <v>100</v>
      </c>
      <c r="V20" s="75" t="s">
        <v>71</v>
      </c>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O21+APR!P21</f>
        <v>0</v>
      </c>
      <c r="Q21" s="59"/>
      <c r="R21" s="51"/>
      <c r="S21" s="65" t="s">
        <v>0</v>
      </c>
      <c r="T21" s="64" t="s">
        <v>0</v>
      </c>
      <c r="U21" s="67" t="s">
        <v>93</v>
      </c>
      <c r="V21" s="74" t="s">
        <v>74</v>
      </c>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O22+APR!P22</f>
        <v>0</v>
      </c>
      <c r="Q22" s="60" t="s">
        <v>86</v>
      </c>
      <c r="R22" s="52" t="s">
        <v>43</v>
      </c>
      <c r="S22" s="66" t="s">
        <v>0</v>
      </c>
      <c r="T22" s="65" t="s">
        <v>0</v>
      </c>
      <c r="U22" s="68" t="s">
        <v>94</v>
      </c>
      <c r="V22" s="59" t="s">
        <v>77</v>
      </c>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O23+APR!P23</f>
        <v>0</v>
      </c>
      <c r="Q23" s="59"/>
      <c r="R23" s="51"/>
      <c r="S23" s="65" t="s">
        <v>0</v>
      </c>
      <c r="T23" s="64" t="s">
        <v>0</v>
      </c>
      <c r="U23" s="67" t="s">
        <v>96</v>
      </c>
      <c r="V23" s="74" t="s">
        <v>80</v>
      </c>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O24+APR!P24</f>
        <v>0</v>
      </c>
      <c r="Q24" s="60" t="s">
        <v>88</v>
      </c>
      <c r="R24" s="52" t="s">
        <v>43</v>
      </c>
      <c r="S24" s="66" t="s">
        <v>345</v>
      </c>
      <c r="T24" s="65" t="s">
        <v>346</v>
      </c>
      <c r="U24" s="68" t="s">
        <v>98</v>
      </c>
      <c r="V24" s="59" t="s">
        <v>82</v>
      </c>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O25+APR!P25</f>
        <v>0</v>
      </c>
      <c r="Q25" s="59" t="s">
        <v>86</v>
      </c>
      <c r="R25" s="51" t="s">
        <v>52</v>
      </c>
      <c r="S25" s="65" t="s">
        <v>0</v>
      </c>
      <c r="T25" s="64" t="s">
        <v>0</v>
      </c>
      <c r="U25" s="67" t="s">
        <v>93</v>
      </c>
      <c r="V25" s="74" t="s">
        <v>71</v>
      </c>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O26+APR!P26</f>
        <v>0</v>
      </c>
      <c r="Q26" s="60"/>
      <c r="R26" s="52" t="s">
        <v>43</v>
      </c>
      <c r="S26" s="66" t="s">
        <v>347</v>
      </c>
      <c r="T26" s="65" t="s">
        <v>336</v>
      </c>
      <c r="U26" s="68" t="s">
        <v>98</v>
      </c>
      <c r="V26" s="59" t="s">
        <v>82</v>
      </c>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9"/>
      <c r="K27" s="70"/>
      <c r="L27" s="52"/>
      <c r="M27" s="8"/>
      <c r="N27" s="7"/>
      <c r="O27" s="218">
        <f t="shared" si="0"/>
        <v>0</v>
      </c>
      <c r="P27" s="218">
        <f>O27+APR!P27</f>
        <v>0</v>
      </c>
      <c r="Q27" s="59" t="s">
        <v>90</v>
      </c>
      <c r="R27" s="51" t="s">
        <v>52</v>
      </c>
      <c r="S27" s="65" t="s">
        <v>0</v>
      </c>
      <c r="T27" s="64" t="s">
        <v>0</v>
      </c>
      <c r="U27" s="67" t="s">
        <v>96</v>
      </c>
      <c r="V27" s="74" t="s">
        <v>77</v>
      </c>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O28+APR!P28</f>
        <v>0</v>
      </c>
      <c r="Q28" s="60"/>
      <c r="R28" s="52"/>
      <c r="S28" s="66" t="s">
        <v>0</v>
      </c>
      <c r="T28" s="65" t="s">
        <v>0</v>
      </c>
      <c r="U28" s="68"/>
      <c r="V28" s="59" t="s">
        <v>82</v>
      </c>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O29+APR!P29</f>
        <v>0</v>
      </c>
      <c r="Q29" s="59"/>
      <c r="R29" s="51"/>
      <c r="S29" s="65" t="s">
        <v>0</v>
      </c>
      <c r="T29" s="64" t="s">
        <v>0</v>
      </c>
      <c r="U29" s="67"/>
      <c r="V29" s="74" t="s">
        <v>82</v>
      </c>
      <c r="W29" s="6">
        <f>'CLIENT ENROLLMENT DISCHARGE '!M29</f>
        <v>0</v>
      </c>
      <c r="X29" s="76">
        <f>'CLIENT ENROLLMENT DISCHARGE '!L29</f>
        <v>0</v>
      </c>
      <c r="Y29" s="180" t="s">
        <v>0</v>
      </c>
    </row>
    <row r="30" spans="1:25" ht="50.1" customHeight="1" x14ac:dyDescent="0.25">
      <c r="A30" s="5">
        <v>16</v>
      </c>
      <c r="B30" s="10">
        <f>'[1]CLIENT ENROLLMENT DISCHARGE '!B30</f>
        <v>251</v>
      </c>
      <c r="C30" s="4">
        <f>'[1]CLIENT ENROLLMENT DISCHARGE '!C30</f>
        <v>251</v>
      </c>
      <c r="D30" s="52"/>
      <c r="E30" s="53"/>
      <c r="F30" s="52"/>
      <c r="G30" s="53"/>
      <c r="H30" s="63"/>
      <c r="I30" s="116"/>
      <c r="J30" s="3"/>
      <c r="K30" s="71"/>
      <c r="L30" s="53"/>
      <c r="M30" s="2"/>
      <c r="N30" s="1"/>
      <c r="O30" s="60" t="s">
        <v>88</v>
      </c>
      <c r="P30" s="52" t="s">
        <v>43</v>
      </c>
      <c r="Q30" s="66" t="s">
        <v>0</v>
      </c>
      <c r="R30" s="65" t="s">
        <v>0</v>
      </c>
      <c r="S30" s="68" t="s">
        <v>100</v>
      </c>
      <c r="T30" s="75" t="s">
        <v>71</v>
      </c>
      <c r="U30" s="266">
        <f>'[1]CLIENT ENROLLMENT DISCHARGE '!M30</f>
        <v>44957</v>
      </c>
      <c r="V30" s="267" t="str">
        <f>'[1]CLIENT ENROLLMENT DISCHARGE '!L30</f>
        <v>YES</v>
      </c>
      <c r="W30" s="180" t="s">
        <v>0</v>
      </c>
      <c r="X30" s="76">
        <f>'CLIENT ENROLLMENT DISCHARGE '!L30</f>
        <v>0</v>
      </c>
      <c r="Y30" s="180" t="s">
        <v>0</v>
      </c>
    </row>
    <row r="31" spans="1:25" ht="50.1" customHeight="1" x14ac:dyDescent="0.25">
      <c r="A31" s="5">
        <v>17</v>
      </c>
      <c r="B31" s="10">
        <f>'[1]CLIENT ENROLLMENT DISCHARGE '!B31</f>
        <v>254</v>
      </c>
      <c r="C31" s="4">
        <f>'[1]CLIENT ENROLLMENT DISCHARGE '!C31</f>
        <v>254</v>
      </c>
      <c r="D31" s="51"/>
      <c r="E31" s="52"/>
      <c r="F31" s="51"/>
      <c r="G31" s="52"/>
      <c r="H31" s="62"/>
      <c r="I31" s="115"/>
      <c r="J31" s="9"/>
      <c r="K31" s="70"/>
      <c r="L31" s="52"/>
      <c r="M31" s="8"/>
      <c r="N31" s="7"/>
      <c r="O31" s="59"/>
      <c r="P31" s="51"/>
      <c r="Q31" s="65" t="s">
        <v>0</v>
      </c>
      <c r="R31" s="64" t="s">
        <v>0</v>
      </c>
      <c r="S31" s="67"/>
      <c r="T31" s="74" t="s">
        <v>82</v>
      </c>
      <c r="U31" s="266">
        <f>'[1]CLIENT ENROLLMENT DISCHARGE '!M31</f>
        <v>0</v>
      </c>
      <c r="V31" s="267">
        <f>'[1]CLIENT ENROLLMENT DISCHARGE '!L31</f>
        <v>0</v>
      </c>
      <c r="W31" s="180" t="s">
        <v>0</v>
      </c>
      <c r="X31" s="76"/>
      <c r="Y31" s="180"/>
    </row>
    <row r="32" spans="1:25" ht="50.1" customHeight="1" x14ac:dyDescent="0.25">
      <c r="A32" s="5">
        <v>18</v>
      </c>
      <c r="B32" s="10">
        <f>'[1]CLIENT ENROLLMENT DISCHARGE '!B32</f>
        <v>257</v>
      </c>
      <c r="C32" s="4">
        <f>'[1]CLIENT ENROLLMENT DISCHARGE '!C32</f>
        <v>257</v>
      </c>
      <c r="D32" s="52"/>
      <c r="E32" s="53"/>
      <c r="F32" s="52"/>
      <c r="G32" s="53"/>
      <c r="H32" s="63"/>
      <c r="I32" s="116"/>
      <c r="J32" s="3"/>
      <c r="K32" s="71"/>
      <c r="L32" s="53"/>
      <c r="M32" s="2"/>
      <c r="N32" s="1"/>
      <c r="O32" s="60" t="s">
        <v>86</v>
      </c>
      <c r="P32" s="52" t="s">
        <v>43</v>
      </c>
      <c r="Q32" s="66" t="s">
        <v>0</v>
      </c>
      <c r="R32" s="65" t="s">
        <v>0</v>
      </c>
      <c r="S32" s="68" t="s">
        <v>94</v>
      </c>
      <c r="T32" s="59" t="s">
        <v>77</v>
      </c>
      <c r="U32" s="266">
        <f>'[1]CLIENT ENROLLMENT DISCHARGE '!M32</f>
        <v>45016</v>
      </c>
      <c r="V32" s="267" t="str">
        <f>'[1]CLIENT ENROLLMENT DISCHARGE '!L32</f>
        <v>YES</v>
      </c>
      <c r="W32" s="180" t="s">
        <v>0</v>
      </c>
      <c r="X32" s="76"/>
      <c r="Y32" s="180"/>
    </row>
    <row r="33" spans="1:25" ht="50.1" customHeight="1" x14ac:dyDescent="0.25">
      <c r="A33" s="5">
        <v>19</v>
      </c>
      <c r="B33" s="10">
        <f>'[1]CLIENT ENROLLMENT DISCHARGE '!B33</f>
        <v>258</v>
      </c>
      <c r="C33" s="4">
        <f>'[1]CLIENT ENROLLMENT DISCHARGE '!C33</f>
        <v>258</v>
      </c>
      <c r="D33" s="51"/>
      <c r="E33" s="52"/>
      <c r="F33" s="51"/>
      <c r="G33" s="52"/>
      <c r="H33" s="62"/>
      <c r="I33" s="115"/>
      <c r="J33" s="9"/>
      <c r="K33" s="70"/>
      <c r="L33" s="52"/>
      <c r="M33" s="8"/>
      <c r="N33" s="7"/>
      <c r="O33" s="59"/>
      <c r="P33" s="51"/>
      <c r="Q33" s="65" t="s">
        <v>0</v>
      </c>
      <c r="R33" s="64" t="s">
        <v>0</v>
      </c>
      <c r="S33" s="67"/>
      <c r="T33" s="74" t="s">
        <v>82</v>
      </c>
      <c r="U33" s="266">
        <f>'[1]CLIENT ENROLLMENT DISCHARGE '!M33</f>
        <v>0</v>
      </c>
      <c r="V33" s="267">
        <f>'[1]CLIENT ENROLLMENT DISCHARGE '!L33</f>
        <v>0</v>
      </c>
      <c r="W33" s="180" t="s">
        <v>0</v>
      </c>
      <c r="X33" s="76"/>
      <c r="Y33" s="180"/>
    </row>
    <row r="34" spans="1:25" ht="50.1" customHeight="1" x14ac:dyDescent="0.25">
      <c r="A34" s="5">
        <v>20</v>
      </c>
      <c r="B34" s="10">
        <f>'[1]CLIENT ENROLLMENT DISCHARGE '!B34</f>
        <v>256</v>
      </c>
      <c r="C34" s="4">
        <f>'[1]CLIENT ENROLLMENT DISCHARGE '!C34</f>
        <v>256</v>
      </c>
      <c r="D34" s="52"/>
      <c r="E34" s="53"/>
      <c r="F34" s="52"/>
      <c r="G34" s="53"/>
      <c r="H34" s="63"/>
      <c r="I34" s="116"/>
      <c r="J34" s="144"/>
      <c r="K34" s="71"/>
      <c r="L34" s="53"/>
      <c r="M34" s="2"/>
      <c r="N34" s="1"/>
      <c r="O34" s="60"/>
      <c r="P34" s="52" t="s">
        <v>43</v>
      </c>
      <c r="Q34" s="66" t="s">
        <v>348</v>
      </c>
      <c r="R34" s="65" t="s">
        <v>349</v>
      </c>
      <c r="S34" s="68" t="s">
        <v>98</v>
      </c>
      <c r="T34" s="59" t="s">
        <v>82</v>
      </c>
      <c r="U34" s="266">
        <f>'[1]CLIENT ENROLLMENT DISCHARGE '!M34</f>
        <v>0</v>
      </c>
      <c r="V34" s="267">
        <f>'[1]CLIENT ENROLLMENT DISCHARGE '!L34</f>
        <v>0</v>
      </c>
      <c r="W34" s="180" t="s">
        <v>0</v>
      </c>
      <c r="X34" s="76"/>
      <c r="Y34" s="180"/>
    </row>
    <row r="35" spans="1:25" ht="50.1" customHeight="1" x14ac:dyDescent="0.25">
      <c r="A35" s="5">
        <v>21</v>
      </c>
      <c r="B35" s="10">
        <f>'[1]CLIENT ENROLLMENT DISCHARGE '!B35</f>
        <v>259</v>
      </c>
      <c r="C35" s="4">
        <f>'[1]CLIENT ENROLLMENT DISCHARGE '!C35</f>
        <v>259</v>
      </c>
      <c r="D35" s="51"/>
      <c r="E35" s="52"/>
      <c r="F35" s="51"/>
      <c r="G35" s="52"/>
      <c r="H35" s="62"/>
      <c r="I35" s="115"/>
      <c r="J35" s="9"/>
      <c r="K35" s="70"/>
      <c r="L35" s="52"/>
      <c r="M35" s="8"/>
      <c r="N35" s="7"/>
      <c r="O35" s="59"/>
      <c r="P35" s="51"/>
      <c r="Q35" s="65" t="s">
        <v>0</v>
      </c>
      <c r="R35" s="64" t="s">
        <v>0</v>
      </c>
      <c r="S35" s="67"/>
      <c r="T35" s="74" t="s">
        <v>82</v>
      </c>
      <c r="U35" s="266">
        <f>'[1]CLIENT ENROLLMENT DISCHARGE '!M35</f>
        <v>0</v>
      </c>
      <c r="V35" s="267">
        <f>'[1]CLIENT ENROLLMENT DISCHARGE '!L35</f>
        <v>0</v>
      </c>
      <c r="W35" s="180" t="s">
        <v>0</v>
      </c>
      <c r="X35" s="76"/>
      <c r="Y35" s="180"/>
    </row>
    <row r="36" spans="1:25" ht="50.1" customHeight="1" x14ac:dyDescent="0.25">
      <c r="A36" s="5">
        <v>22</v>
      </c>
      <c r="B36" s="10">
        <f>'[1]CLIENT ENROLLMENT DISCHARGE '!B36</f>
        <v>260</v>
      </c>
      <c r="C36" s="4">
        <f>'[1]CLIENT ENROLLMENT DISCHARGE '!C36</f>
        <v>260</v>
      </c>
      <c r="D36" s="52"/>
      <c r="E36" s="53"/>
      <c r="F36" s="52"/>
      <c r="G36" s="53"/>
      <c r="H36" s="63"/>
      <c r="I36" s="116"/>
      <c r="J36" s="3"/>
      <c r="K36" s="71"/>
      <c r="L36" s="53"/>
      <c r="M36" s="2"/>
      <c r="N36" s="1"/>
      <c r="O36" s="60"/>
      <c r="P36" s="52"/>
      <c r="Q36" s="66" t="s">
        <v>0</v>
      </c>
      <c r="R36" s="65" t="s">
        <v>0</v>
      </c>
      <c r="S36" s="68"/>
      <c r="T36" s="59" t="s">
        <v>82</v>
      </c>
      <c r="U36" s="266">
        <f>'[1]CLIENT ENROLLMENT DISCHARGE '!M36</f>
        <v>0</v>
      </c>
      <c r="V36" s="267">
        <f>'[1]CLIENT ENROLLMENT DISCHARGE '!L36</f>
        <v>0</v>
      </c>
      <c r="W36" s="180" t="s">
        <v>0</v>
      </c>
      <c r="X36" s="76"/>
      <c r="Y36" s="180"/>
    </row>
    <row r="37" spans="1:25" ht="50.1" customHeight="1" x14ac:dyDescent="0.25">
      <c r="A37" s="5">
        <v>23</v>
      </c>
      <c r="B37" s="10">
        <f>'[1]CLIENT ENROLLMENT DISCHARGE '!B37</f>
        <v>261</v>
      </c>
      <c r="C37" s="4">
        <f>'[1]CLIENT ENROLLMENT DISCHARGE '!C37</f>
        <v>261</v>
      </c>
      <c r="D37" s="51"/>
      <c r="E37" s="52"/>
      <c r="F37" s="51"/>
      <c r="G37" s="52"/>
      <c r="H37" s="62"/>
      <c r="I37" s="115"/>
      <c r="J37" s="9"/>
      <c r="K37" s="70"/>
      <c r="L37" s="52"/>
      <c r="M37" s="8"/>
      <c r="N37" s="7"/>
      <c r="O37" s="59"/>
      <c r="P37" s="51"/>
      <c r="Q37" s="65" t="s">
        <v>0</v>
      </c>
      <c r="R37" s="64" t="s">
        <v>0</v>
      </c>
      <c r="S37" s="67"/>
      <c r="T37" s="74" t="s">
        <v>82</v>
      </c>
      <c r="U37" s="266">
        <f>'[1]CLIENT ENROLLMENT DISCHARGE '!M37</f>
        <v>0</v>
      </c>
      <c r="V37" s="267">
        <f>'[1]CLIENT ENROLLMENT DISCHARGE '!L37</f>
        <v>0</v>
      </c>
      <c r="W37" s="180" t="s">
        <v>0</v>
      </c>
      <c r="X37" s="76"/>
      <c r="Y37" s="180"/>
    </row>
    <row r="38" spans="1:25" ht="50.1" customHeight="1" x14ac:dyDescent="0.25">
      <c r="A38" s="5">
        <v>24</v>
      </c>
      <c r="B38" s="10">
        <f>'[1]CLIENT ENROLLMENT DISCHARGE '!B38</f>
        <v>262</v>
      </c>
      <c r="C38" s="4">
        <f>'[1]CLIENT ENROLLMENT DISCHARGE '!C38</f>
        <v>262</v>
      </c>
      <c r="D38" s="52"/>
      <c r="E38" s="53"/>
      <c r="F38" s="52"/>
      <c r="G38" s="53"/>
      <c r="H38" s="63"/>
      <c r="I38" s="116"/>
      <c r="J38" s="3"/>
      <c r="K38" s="71"/>
      <c r="L38" s="53"/>
      <c r="M38" s="2"/>
      <c r="N38" s="1"/>
      <c r="O38" s="60"/>
      <c r="P38" s="52"/>
      <c r="Q38" s="66" t="s">
        <v>0</v>
      </c>
      <c r="R38" s="65" t="s">
        <v>0</v>
      </c>
      <c r="S38" s="68"/>
      <c r="T38" s="59" t="s">
        <v>82</v>
      </c>
      <c r="U38" s="266">
        <f>'[1]CLIENT ENROLLMENT DISCHARGE '!M38</f>
        <v>0</v>
      </c>
      <c r="V38" s="267">
        <f>'[1]CLIENT ENROLLMENT DISCHARGE '!L38</f>
        <v>0</v>
      </c>
      <c r="W38" s="180" t="s">
        <v>0</v>
      </c>
      <c r="X38" s="76"/>
      <c r="Y38" s="180"/>
    </row>
    <row r="39" spans="1:25" ht="50.1" customHeight="1" x14ac:dyDescent="0.25">
      <c r="A39" s="5">
        <v>25</v>
      </c>
      <c r="B39" s="10">
        <f>'[1]CLIENT ENROLLMENT DISCHARGE '!B39</f>
        <v>263</v>
      </c>
      <c r="C39" s="4">
        <f>'[1]CLIENT ENROLLMENT DISCHARGE '!C39</f>
        <v>263</v>
      </c>
      <c r="D39" s="51"/>
      <c r="E39" s="52"/>
      <c r="F39" s="51"/>
      <c r="G39" s="52"/>
      <c r="H39" s="62"/>
      <c r="I39" s="115"/>
      <c r="J39" s="9"/>
      <c r="K39" s="70"/>
      <c r="L39" s="52"/>
      <c r="M39" s="8"/>
      <c r="N39" s="7"/>
      <c r="O39" s="59"/>
      <c r="P39" s="51"/>
      <c r="Q39" s="65" t="s">
        <v>0</v>
      </c>
      <c r="R39" s="64" t="s">
        <v>0</v>
      </c>
      <c r="S39" s="67"/>
      <c r="T39" s="74" t="s">
        <v>82</v>
      </c>
      <c r="U39" s="266">
        <f>'[1]CLIENT ENROLLMENT DISCHARGE '!M39</f>
        <v>0</v>
      </c>
      <c r="V39" s="267">
        <f>'[1]CLIENT ENROLLMENT DISCHARGE '!L39</f>
        <v>0</v>
      </c>
      <c r="W39" s="180" t="s">
        <v>0</v>
      </c>
      <c r="X39" s="76"/>
      <c r="Y39" s="180"/>
    </row>
    <row r="40" spans="1:25" ht="50.1" customHeight="1" x14ac:dyDescent="0.25">
      <c r="A40" s="5">
        <v>26</v>
      </c>
      <c r="B40" s="10">
        <f>'[1]CLIENT ENROLLMENT DISCHARGE '!B40</f>
        <v>264</v>
      </c>
      <c r="C40" s="4">
        <f>'[1]CLIENT ENROLLMENT DISCHARGE '!C40</f>
        <v>264</v>
      </c>
      <c r="D40" s="52"/>
      <c r="E40" s="53"/>
      <c r="F40" s="52"/>
      <c r="G40" s="53"/>
      <c r="H40" s="63"/>
      <c r="I40" s="116"/>
      <c r="J40" s="3"/>
      <c r="K40" s="71"/>
      <c r="L40" s="53"/>
      <c r="M40" s="2"/>
      <c r="N40" s="1"/>
      <c r="O40" s="60"/>
      <c r="P40" s="52"/>
      <c r="Q40" s="66" t="s">
        <v>0</v>
      </c>
      <c r="R40" s="65" t="s">
        <v>0</v>
      </c>
      <c r="S40" s="68"/>
      <c r="T40" s="75" t="s">
        <v>82</v>
      </c>
      <c r="U40" s="266">
        <f>'[1]CLIENT ENROLLMENT DISCHARGE '!M40</f>
        <v>0</v>
      </c>
      <c r="V40" s="267">
        <f>'[1]CLIENT ENROLLMENT DISCHARGE '!L40</f>
        <v>0</v>
      </c>
      <c r="W40" s="180" t="s">
        <v>0</v>
      </c>
      <c r="X40" s="76"/>
      <c r="Y40" s="180"/>
    </row>
    <row r="41" spans="1:25" ht="50.1" customHeight="1" x14ac:dyDescent="0.25">
      <c r="A41" s="5">
        <v>27</v>
      </c>
      <c r="B41" s="10">
        <f>'[1]CLIENT ENROLLMENT DISCHARGE '!B41</f>
        <v>265</v>
      </c>
      <c r="C41" s="4">
        <f>'[1]CLIENT ENROLLMENT DISCHARGE '!C41</f>
        <v>265</v>
      </c>
      <c r="D41" s="51"/>
      <c r="E41" s="52"/>
      <c r="F41" s="51"/>
      <c r="G41" s="52"/>
      <c r="H41" s="62"/>
      <c r="I41" s="115"/>
      <c r="J41" s="9"/>
      <c r="K41" s="70"/>
      <c r="L41" s="52"/>
      <c r="M41" s="8"/>
      <c r="N41" s="7"/>
      <c r="O41" s="59"/>
      <c r="P41" s="51"/>
      <c r="Q41" s="65" t="s">
        <v>0</v>
      </c>
      <c r="R41" s="64" t="s">
        <v>0</v>
      </c>
      <c r="S41" s="67"/>
      <c r="T41" s="74" t="s">
        <v>82</v>
      </c>
      <c r="U41" s="266">
        <f>'[1]CLIENT ENROLLMENT DISCHARGE '!M41</f>
        <v>0</v>
      </c>
      <c r="V41" s="267">
        <f>'[1]CLIENT ENROLLMENT DISCHARGE '!L41</f>
        <v>0</v>
      </c>
      <c r="W41" s="180" t="s">
        <v>0</v>
      </c>
      <c r="X41" s="76"/>
      <c r="Y41" s="180"/>
    </row>
    <row r="42" spans="1:25" ht="50.1" customHeight="1" x14ac:dyDescent="0.25">
      <c r="A42" s="5">
        <v>28</v>
      </c>
      <c r="B42" s="10">
        <f>'[1]CLIENT ENROLLMENT DISCHARGE '!B42</f>
        <v>270</v>
      </c>
      <c r="C42" s="4">
        <f>'[1]CLIENT ENROLLMENT DISCHARGE '!C42</f>
        <v>270</v>
      </c>
      <c r="D42" s="52"/>
      <c r="E42" s="53"/>
      <c r="F42" s="52"/>
      <c r="G42" s="53"/>
      <c r="H42" s="63"/>
      <c r="I42" s="116"/>
      <c r="J42" s="3"/>
      <c r="K42" s="71"/>
      <c r="L42" s="53"/>
      <c r="M42" s="2"/>
      <c r="N42" s="1"/>
      <c r="O42" s="60" t="s">
        <v>86</v>
      </c>
      <c r="P42" s="52" t="s">
        <v>43</v>
      </c>
      <c r="Q42" s="66" t="s">
        <v>0</v>
      </c>
      <c r="R42" s="65" t="s">
        <v>0</v>
      </c>
      <c r="S42" s="68" t="s">
        <v>94</v>
      </c>
      <c r="T42" s="59" t="s">
        <v>77</v>
      </c>
      <c r="U42" s="266">
        <f>'[1]CLIENT ENROLLMENT DISCHARGE '!M42</f>
        <v>44985</v>
      </c>
      <c r="V42" s="267" t="str">
        <f>'[1]CLIENT ENROLLMENT DISCHARGE '!L42</f>
        <v>YES</v>
      </c>
      <c r="W42" s="180" t="s">
        <v>0</v>
      </c>
      <c r="X42" s="76"/>
      <c r="Y42" s="180"/>
    </row>
    <row r="43" spans="1:25" ht="50.1" customHeight="1" x14ac:dyDescent="0.25">
      <c r="A43" s="5">
        <v>29</v>
      </c>
      <c r="B43" s="10">
        <f>'[1]CLIENT ENROLLMENT DISCHARGE '!B43</f>
        <v>148</v>
      </c>
      <c r="C43" s="4">
        <f>'[1]CLIENT ENROLLMENT DISCHARGE '!C43</f>
        <v>148</v>
      </c>
      <c r="D43" s="51"/>
      <c r="E43" s="52"/>
      <c r="F43" s="51"/>
      <c r="G43" s="52"/>
      <c r="H43" s="62"/>
      <c r="I43" s="115"/>
      <c r="J43" s="9"/>
      <c r="K43" s="70"/>
      <c r="L43" s="52"/>
      <c r="M43" s="8"/>
      <c r="N43" s="7"/>
      <c r="O43" s="59"/>
      <c r="P43" s="51"/>
      <c r="Q43" s="65" t="s">
        <v>0</v>
      </c>
      <c r="R43" s="64" t="s">
        <v>0</v>
      </c>
      <c r="S43" s="67"/>
      <c r="T43" s="74" t="s">
        <v>82</v>
      </c>
      <c r="U43" s="266">
        <f>'[1]CLIENT ENROLLMENT DISCHARGE '!M43</f>
        <v>0</v>
      </c>
      <c r="V43" s="267">
        <f>'[1]CLIENT ENROLLMENT DISCHARGE '!L43</f>
        <v>0</v>
      </c>
      <c r="W43" s="180" t="s">
        <v>0</v>
      </c>
      <c r="X43" s="76"/>
      <c r="Y43" s="180"/>
    </row>
    <row r="44" spans="1:25" ht="50.1" customHeight="1" x14ac:dyDescent="0.25">
      <c r="A44" s="5">
        <v>30</v>
      </c>
      <c r="B44" s="10">
        <f>'[1]CLIENT ENROLLMENT DISCHARGE '!B44</f>
        <v>273</v>
      </c>
      <c r="C44" s="4">
        <f>'[1]CLIENT ENROLLMENT DISCHARGE '!C44</f>
        <v>273</v>
      </c>
      <c r="D44" s="52"/>
      <c r="E44" s="53"/>
      <c r="F44" s="52"/>
      <c r="G44" s="53"/>
      <c r="H44" s="63"/>
      <c r="I44" s="116"/>
      <c r="J44" s="3"/>
      <c r="K44" s="71"/>
      <c r="L44" s="53"/>
      <c r="M44" s="2"/>
      <c r="N44" s="1"/>
      <c r="O44" s="60"/>
      <c r="P44" s="52"/>
      <c r="Q44" s="66" t="s">
        <v>0</v>
      </c>
      <c r="R44" s="65" t="s">
        <v>0</v>
      </c>
      <c r="S44" s="68"/>
      <c r="T44" s="59" t="s">
        <v>77</v>
      </c>
      <c r="U44" s="266">
        <f>'[1]CLIENT ENROLLMENT DISCHARGE '!M44</f>
        <v>0</v>
      </c>
      <c r="V44" s="267">
        <f>'[1]CLIENT ENROLLMENT DISCHARGE '!L44</f>
        <v>0</v>
      </c>
      <c r="W44" s="180" t="s">
        <v>0</v>
      </c>
      <c r="X44" s="76"/>
      <c r="Y44" s="180"/>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c r="P45" s="218"/>
      <c r="Q45" s="59"/>
      <c r="R45" s="51"/>
      <c r="S45" s="65"/>
      <c r="T45" s="64"/>
      <c r="U45" s="67"/>
      <c r="V45" s="74"/>
      <c r="W45" s="6"/>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c r="P46" s="218"/>
      <c r="Q46" s="60"/>
      <c r="R46" s="52"/>
      <c r="S46" s="66"/>
      <c r="T46" s="65"/>
      <c r="U46" s="68"/>
      <c r="V46" s="59"/>
      <c r="W46" s="6"/>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c r="P47" s="218"/>
      <c r="Q47" s="59"/>
      <c r="R47" s="51"/>
      <c r="S47" s="65"/>
      <c r="T47" s="64"/>
      <c r="U47" s="67"/>
      <c r="V47" s="74"/>
      <c r="W47" s="6"/>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c r="P48" s="218"/>
      <c r="Q48" s="60"/>
      <c r="R48" s="52"/>
      <c r="S48" s="66"/>
      <c r="T48" s="65"/>
      <c r="U48" s="68"/>
      <c r="V48" s="59"/>
      <c r="W48" s="6"/>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c r="P49" s="218"/>
      <c r="Q49" s="59"/>
      <c r="R49" s="51"/>
      <c r="S49" s="65"/>
      <c r="T49" s="64"/>
      <c r="U49" s="67"/>
      <c r="V49" s="74"/>
      <c r="W49" s="6"/>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c r="P50" s="218"/>
      <c r="Q50" s="60"/>
      <c r="R50" s="52"/>
      <c r="S50" s="66"/>
      <c r="T50" s="65"/>
      <c r="U50" s="68"/>
      <c r="V50" s="75"/>
      <c r="W50" s="6"/>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c r="P51" s="218"/>
      <c r="Q51" s="59"/>
      <c r="R51" s="51"/>
      <c r="S51" s="65"/>
      <c r="T51" s="64"/>
      <c r="U51" s="67"/>
      <c r="V51" s="74"/>
      <c r="W51" s="6"/>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c r="P52" s="218"/>
      <c r="Q52" s="60"/>
      <c r="R52" s="52"/>
      <c r="S52" s="66"/>
      <c r="T52" s="65"/>
      <c r="U52" s="68"/>
      <c r="V52" s="59"/>
      <c r="W52" s="6"/>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c r="P53" s="218"/>
      <c r="Q53" s="59"/>
      <c r="R53" s="51"/>
      <c r="S53" s="65"/>
      <c r="T53" s="64"/>
      <c r="U53" s="67"/>
      <c r="V53" s="74"/>
      <c r="W53" s="6"/>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c r="P54" s="218"/>
      <c r="Q54" s="60"/>
      <c r="R54" s="52"/>
      <c r="S54" s="66"/>
      <c r="T54" s="65"/>
      <c r="U54" s="68"/>
      <c r="V54" s="59"/>
      <c r="W54" s="6"/>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c r="P55" s="218"/>
      <c r="Q55" s="59"/>
      <c r="R55" s="51"/>
      <c r="S55" s="65"/>
      <c r="T55" s="64"/>
      <c r="U55" s="67"/>
      <c r="V55" s="74"/>
      <c r="W55" s="6"/>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c r="P56" s="218"/>
      <c r="Q56" s="60"/>
      <c r="R56" s="52"/>
      <c r="S56" s="66"/>
      <c r="T56" s="65"/>
      <c r="U56" s="68"/>
      <c r="V56" s="59"/>
      <c r="W56" s="6"/>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c r="P57" s="218"/>
      <c r="Q57" s="59"/>
      <c r="R57" s="51"/>
      <c r="S57" s="65"/>
      <c r="T57" s="64"/>
      <c r="U57" s="67"/>
      <c r="V57" s="74"/>
      <c r="W57" s="6"/>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c r="P58" s="218"/>
      <c r="Q58" s="60"/>
      <c r="R58" s="52"/>
      <c r="S58" s="66"/>
      <c r="T58" s="65"/>
      <c r="U58" s="68"/>
      <c r="V58" s="59"/>
      <c r="W58" s="6"/>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c r="P59" s="218"/>
      <c r="Q59" s="59"/>
      <c r="R59" s="51"/>
      <c r="S59" s="65"/>
      <c r="T59" s="64"/>
      <c r="U59" s="67"/>
      <c r="V59" s="74"/>
      <c r="W59" s="6"/>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c r="P60" s="218"/>
      <c r="Q60" s="60"/>
      <c r="R60" s="52"/>
      <c r="S60" s="66"/>
      <c r="T60" s="65"/>
      <c r="U60" s="68"/>
      <c r="V60" s="75"/>
      <c r="W60" s="6"/>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c r="P61" s="218"/>
      <c r="Q61" s="59"/>
      <c r="R61" s="51"/>
      <c r="S61" s="65"/>
      <c r="T61" s="64"/>
      <c r="U61" s="67"/>
      <c r="V61" s="74"/>
      <c r="W61" s="6"/>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c r="P62" s="218"/>
      <c r="Q62" s="60"/>
      <c r="R62" s="52"/>
      <c r="S62" s="66"/>
      <c r="T62" s="65"/>
      <c r="U62" s="68"/>
      <c r="V62" s="59"/>
      <c r="W62" s="6"/>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c r="P63" s="218"/>
      <c r="Q63" s="59"/>
      <c r="R63" s="51"/>
      <c r="S63" s="65"/>
      <c r="T63" s="64"/>
      <c r="U63" s="67"/>
      <c r="V63" s="74"/>
      <c r="W63" s="6"/>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c r="P64" s="218"/>
      <c r="Q64" s="60"/>
      <c r="R64" s="52"/>
      <c r="S64" s="66"/>
      <c r="T64" s="65"/>
      <c r="U64" s="68"/>
      <c r="V64" s="59"/>
      <c r="W64" s="6"/>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c r="P65" s="218"/>
      <c r="Q65" s="59"/>
      <c r="R65" s="51"/>
      <c r="S65" s="65"/>
      <c r="T65" s="64"/>
      <c r="U65" s="67"/>
      <c r="V65" s="74"/>
      <c r="W65" s="6"/>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c r="P66" s="218"/>
      <c r="Q66" s="60"/>
      <c r="R66" s="52"/>
      <c r="S66" s="66"/>
      <c r="T66" s="65"/>
      <c r="U66" s="68"/>
      <c r="V66" s="59"/>
      <c r="W66" s="6"/>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c r="P67" s="218"/>
      <c r="Q67" s="59"/>
      <c r="R67" s="51"/>
      <c r="S67" s="65"/>
      <c r="T67" s="64"/>
      <c r="U67" s="67"/>
      <c r="V67" s="74"/>
      <c r="W67" s="6"/>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c r="P68" s="218"/>
      <c r="Q68" s="60"/>
      <c r="R68" s="52"/>
      <c r="S68" s="66"/>
      <c r="T68" s="65"/>
      <c r="U68" s="68"/>
      <c r="V68" s="59"/>
      <c r="W68" s="6"/>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c r="P69" s="218"/>
      <c r="Q69" s="59"/>
      <c r="R69" s="51"/>
      <c r="S69" s="65"/>
      <c r="T69" s="64"/>
      <c r="U69" s="67"/>
      <c r="V69" s="74"/>
      <c r="W69" s="6"/>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c r="P70" s="218"/>
      <c r="Q70" s="60"/>
      <c r="R70" s="52"/>
      <c r="S70" s="66"/>
      <c r="T70" s="65"/>
      <c r="U70" s="68"/>
      <c r="V70" s="75"/>
      <c r="W70" s="6"/>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c r="P71" s="218"/>
      <c r="Q71" s="59"/>
      <c r="R71" s="51"/>
      <c r="S71" s="65"/>
      <c r="T71" s="64"/>
      <c r="U71" s="67"/>
      <c r="V71" s="74"/>
      <c r="W71" s="6"/>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c r="P72" s="218"/>
      <c r="Q72" s="60"/>
      <c r="R72" s="52"/>
      <c r="S72" s="66"/>
      <c r="T72" s="65"/>
      <c r="U72" s="68"/>
      <c r="V72" s="59"/>
      <c r="W72" s="6"/>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c r="P73" s="218"/>
      <c r="Q73" s="59"/>
      <c r="R73" s="51"/>
      <c r="S73" s="65"/>
      <c r="T73" s="64"/>
      <c r="U73" s="67"/>
      <c r="V73" s="74"/>
      <c r="W73" s="6"/>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c r="P74" s="218"/>
      <c r="Q74" s="60"/>
      <c r="R74" s="52"/>
      <c r="S74" s="66"/>
      <c r="T74" s="65"/>
      <c r="U74" s="68"/>
      <c r="V74" s="59"/>
      <c r="W74" s="6"/>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c r="P75" s="218"/>
      <c r="Q75" s="59"/>
      <c r="R75" s="51"/>
      <c r="S75" s="65"/>
      <c r="T75" s="64"/>
      <c r="U75" s="67"/>
      <c r="V75" s="74"/>
      <c r="W75" s="6"/>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c r="P76" s="218"/>
      <c r="Q76" s="60"/>
      <c r="R76" s="52"/>
      <c r="S76" s="66"/>
      <c r="T76" s="65"/>
      <c r="U76" s="68"/>
      <c r="V76" s="59"/>
      <c r="W76" s="6"/>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c r="P77" s="218"/>
      <c r="Q77" s="59"/>
      <c r="R77" s="51"/>
      <c r="S77" s="65"/>
      <c r="T77" s="64"/>
      <c r="U77" s="67"/>
      <c r="V77" s="74"/>
      <c r="W77" s="6"/>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c r="P78" s="218"/>
      <c r="Q78" s="60"/>
      <c r="R78" s="52"/>
      <c r="S78" s="66"/>
      <c r="T78" s="65"/>
      <c r="U78" s="68"/>
      <c r="V78" s="59"/>
      <c r="W78" s="6"/>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c r="P79" s="218"/>
      <c r="Q79" s="59"/>
      <c r="R79" s="51"/>
      <c r="S79" s="65"/>
      <c r="T79" s="64"/>
      <c r="U79" s="67"/>
      <c r="V79" s="74"/>
      <c r="W79" s="6"/>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c r="P80" s="218"/>
      <c r="Q80" s="60"/>
      <c r="R80" s="52"/>
      <c r="S80" s="66"/>
      <c r="T80" s="65"/>
      <c r="U80" s="68"/>
      <c r="V80" s="75"/>
      <c r="W80" s="6"/>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c r="P81" s="218"/>
      <c r="Q81" s="59"/>
      <c r="R81" s="51"/>
      <c r="S81" s="65"/>
      <c r="T81" s="64"/>
      <c r="U81" s="67"/>
      <c r="V81" s="74"/>
      <c r="W81" s="6"/>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c r="P82" s="218"/>
      <c r="Q82" s="60"/>
      <c r="R82" s="52"/>
      <c r="S82" s="66"/>
      <c r="T82" s="65"/>
      <c r="U82" s="68"/>
      <c r="V82" s="59"/>
      <c r="W82" s="6"/>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c r="P83" s="218"/>
      <c r="Q83" s="59"/>
      <c r="R83" s="51"/>
      <c r="S83" s="65"/>
      <c r="T83" s="64"/>
      <c r="U83" s="67"/>
      <c r="V83" s="74"/>
      <c r="W83" s="6"/>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c r="P84" s="218"/>
      <c r="Q84" s="60"/>
      <c r="R84" s="52"/>
      <c r="S84" s="66"/>
      <c r="T84" s="65"/>
      <c r="U84" s="68"/>
      <c r="V84" s="59"/>
      <c r="W84" s="6"/>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c r="P85" s="218"/>
      <c r="Q85" s="59"/>
      <c r="R85" s="51"/>
      <c r="S85" s="65"/>
      <c r="T85" s="64"/>
      <c r="U85" s="67"/>
      <c r="V85" s="74"/>
      <c r="W85" s="6"/>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c r="P86" s="218"/>
      <c r="Q86" s="60"/>
      <c r="R86" s="52"/>
      <c r="S86" s="66"/>
      <c r="T86" s="65"/>
      <c r="U86" s="68"/>
      <c r="V86" s="59"/>
      <c r="W86" s="6"/>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c r="P87" s="218"/>
      <c r="Q87" s="59"/>
      <c r="R87" s="51"/>
      <c r="S87" s="65"/>
      <c r="T87" s="64"/>
      <c r="U87" s="67"/>
      <c r="V87" s="74"/>
      <c r="W87" s="6"/>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c r="P88" s="218"/>
      <c r="Q88" s="60"/>
      <c r="R88" s="52"/>
      <c r="S88" s="66"/>
      <c r="T88" s="65"/>
      <c r="U88" s="68"/>
      <c r="V88" s="59"/>
      <c r="W88" s="6"/>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c r="P89" s="218"/>
      <c r="Q89" s="59"/>
      <c r="R89" s="51"/>
      <c r="S89" s="65"/>
      <c r="T89" s="64"/>
      <c r="U89" s="67"/>
      <c r="V89" s="74"/>
      <c r="W89" s="6"/>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c r="P90" s="218"/>
      <c r="Q90" s="60"/>
      <c r="R90" s="52"/>
      <c r="S90" s="66"/>
      <c r="T90" s="65"/>
      <c r="U90" s="68"/>
      <c r="V90" s="75"/>
      <c r="W90" s="6"/>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c r="P91" s="218"/>
      <c r="Q91" s="59"/>
      <c r="R91" s="51"/>
      <c r="S91" s="65"/>
      <c r="T91" s="64"/>
      <c r="U91" s="67"/>
      <c r="V91" s="74"/>
      <c r="W91" s="6"/>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c r="P92" s="218"/>
      <c r="Q92" s="60"/>
      <c r="R92" s="52"/>
      <c r="S92" s="66"/>
      <c r="T92" s="65"/>
      <c r="U92" s="68"/>
      <c r="V92" s="59"/>
      <c r="W92" s="6"/>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c r="P93" s="218"/>
      <c r="Q93" s="59"/>
      <c r="R93" s="51"/>
      <c r="S93" s="65"/>
      <c r="T93" s="64"/>
      <c r="U93" s="67"/>
      <c r="V93" s="74"/>
      <c r="W93" s="6"/>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c r="P94" s="218"/>
      <c r="Q94" s="60"/>
      <c r="R94" s="52"/>
      <c r="S94" s="66"/>
      <c r="T94" s="65"/>
      <c r="U94" s="68"/>
      <c r="V94" s="59"/>
      <c r="W94" s="6"/>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c r="P95" s="218"/>
      <c r="Q95" s="59"/>
      <c r="R95" s="51"/>
      <c r="S95" s="65"/>
      <c r="T95" s="64"/>
      <c r="U95" s="67"/>
      <c r="V95" s="74"/>
      <c r="W95" s="6"/>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c r="P96" s="218"/>
      <c r="Q96" s="60"/>
      <c r="R96" s="52"/>
      <c r="S96" s="66"/>
      <c r="T96" s="65"/>
      <c r="U96" s="68"/>
      <c r="V96" s="59"/>
      <c r="W96" s="6"/>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c r="P97" s="218"/>
      <c r="Q97" s="59"/>
      <c r="R97" s="51"/>
      <c r="S97" s="65"/>
      <c r="T97" s="64"/>
      <c r="U97" s="67"/>
      <c r="V97" s="74"/>
      <c r="W97" s="6"/>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c r="P98" s="218"/>
      <c r="Q98" s="60"/>
      <c r="R98" s="52"/>
      <c r="S98" s="66"/>
      <c r="T98" s="65"/>
      <c r="U98" s="68"/>
      <c r="V98" s="59"/>
      <c r="W98" s="6"/>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c r="P99" s="218"/>
      <c r="Q99" s="59"/>
      <c r="R99" s="51"/>
      <c r="S99" s="65"/>
      <c r="T99" s="64"/>
      <c r="U99" s="67"/>
      <c r="V99" s="74"/>
      <c r="W99" s="6"/>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c r="P100" s="218"/>
      <c r="Q100" s="60"/>
      <c r="R100" s="52"/>
      <c r="S100" s="66"/>
      <c r="T100" s="65"/>
      <c r="U100" s="68"/>
      <c r="V100" s="75"/>
      <c r="W100" s="6"/>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c r="P101" s="218"/>
      <c r="Q101" s="59"/>
      <c r="R101" s="51"/>
      <c r="S101" s="65"/>
      <c r="T101" s="64"/>
      <c r="U101" s="67"/>
      <c r="V101" s="74"/>
      <c r="W101" s="6"/>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c r="P102" s="218"/>
      <c r="Q102" s="60"/>
      <c r="R102" s="52"/>
      <c r="S102" s="66"/>
      <c r="T102" s="65"/>
      <c r="U102" s="68"/>
      <c r="V102" s="59"/>
      <c r="W102" s="6"/>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c r="P103" s="218"/>
      <c r="Q103" s="59"/>
      <c r="R103" s="51"/>
      <c r="S103" s="65"/>
      <c r="T103" s="64"/>
      <c r="U103" s="67"/>
      <c r="V103" s="74"/>
      <c r="W103" s="6"/>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c r="P104" s="218"/>
      <c r="Q104" s="60"/>
      <c r="R104" s="52"/>
      <c r="S104" s="66"/>
      <c r="T104" s="65"/>
      <c r="U104" s="68"/>
      <c r="V104" s="59"/>
      <c r="W104" s="6"/>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c r="P105" s="218"/>
      <c r="Q105" s="59"/>
      <c r="R105" s="51"/>
      <c r="S105" s="65"/>
      <c r="T105" s="64"/>
      <c r="U105" s="67"/>
      <c r="V105" s="74"/>
      <c r="W105" s="6"/>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c r="P106" s="218"/>
      <c r="Q106" s="60"/>
      <c r="R106" s="52"/>
      <c r="S106" s="66"/>
      <c r="T106" s="65"/>
      <c r="U106" s="68"/>
      <c r="V106" s="59"/>
      <c r="W106" s="6"/>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c r="P107" s="218"/>
      <c r="Q107" s="59"/>
      <c r="R107" s="51"/>
      <c r="S107" s="65"/>
      <c r="T107" s="64"/>
      <c r="U107" s="67"/>
      <c r="V107" s="74"/>
      <c r="W107" s="6"/>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c r="P108" s="218"/>
      <c r="Q108" s="60"/>
      <c r="R108" s="52"/>
      <c r="S108" s="66"/>
      <c r="T108" s="65"/>
      <c r="U108" s="68"/>
      <c r="V108" s="59"/>
      <c r="W108" s="6"/>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c r="P109" s="218"/>
      <c r="Q109" s="59"/>
      <c r="R109" s="51"/>
      <c r="S109" s="65"/>
      <c r="T109" s="64"/>
      <c r="U109" s="67"/>
      <c r="V109" s="74"/>
      <c r="W109" s="6"/>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c r="P110" s="218"/>
      <c r="Q110" s="60"/>
      <c r="R110" s="52"/>
      <c r="S110" s="66"/>
      <c r="T110" s="65"/>
      <c r="U110" s="68"/>
      <c r="V110" s="75"/>
      <c r="W110" s="6"/>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c r="P111" s="218"/>
      <c r="Q111" s="59"/>
      <c r="R111" s="51"/>
      <c r="S111" s="65"/>
      <c r="T111" s="64"/>
      <c r="U111" s="67"/>
      <c r="V111" s="74"/>
      <c r="W111" s="6"/>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c r="P112" s="218"/>
      <c r="Q112" s="60"/>
      <c r="R112" s="52"/>
      <c r="S112" s="66"/>
      <c r="T112" s="65"/>
      <c r="U112" s="68"/>
      <c r="V112" s="59"/>
      <c r="W112" s="6"/>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c r="P113" s="218"/>
      <c r="Q113" s="59"/>
      <c r="R113" s="51"/>
      <c r="S113" s="65"/>
      <c r="T113" s="64"/>
      <c r="U113" s="67"/>
      <c r="V113" s="74"/>
      <c r="W113" s="6"/>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c r="P114" s="218"/>
      <c r="Q114" s="60"/>
      <c r="R114" s="52"/>
      <c r="S114" s="66"/>
      <c r="T114" s="65"/>
      <c r="U114" s="68"/>
      <c r="V114" s="59"/>
      <c r="W114" s="6"/>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c r="P115" s="218"/>
      <c r="Q115" s="59"/>
      <c r="R115" s="51"/>
      <c r="S115" s="65"/>
      <c r="T115" s="64"/>
      <c r="U115" s="67"/>
      <c r="V115" s="74"/>
      <c r="W115" s="6"/>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c r="P116" s="218"/>
      <c r="Q116" s="60"/>
      <c r="R116" s="52"/>
      <c r="S116" s="66"/>
      <c r="T116" s="65"/>
      <c r="U116" s="68"/>
      <c r="V116" s="59"/>
      <c r="W116" s="6"/>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c r="P117" s="218"/>
      <c r="Q117" s="59"/>
      <c r="R117" s="51"/>
      <c r="S117" s="65"/>
      <c r="T117" s="64"/>
      <c r="U117" s="67"/>
      <c r="V117" s="74"/>
      <c r="W117" s="6"/>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c r="P118" s="218"/>
      <c r="Q118" s="60"/>
      <c r="R118" s="52"/>
      <c r="S118" s="66"/>
      <c r="T118" s="65"/>
      <c r="U118" s="68"/>
      <c r="V118" s="59"/>
      <c r="W118" s="6"/>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c r="P119" s="218"/>
      <c r="Q119" s="59"/>
      <c r="R119" s="51"/>
      <c r="S119" s="65"/>
      <c r="T119" s="64"/>
      <c r="U119" s="67"/>
      <c r="V119" s="74"/>
      <c r="W119" s="6"/>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c r="P120" s="218"/>
      <c r="Q120" s="60"/>
      <c r="R120" s="52"/>
      <c r="S120" s="66"/>
      <c r="T120" s="65"/>
      <c r="U120" s="68"/>
      <c r="V120" s="75"/>
      <c r="W120" s="6"/>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c r="P121" s="218"/>
      <c r="Q121" s="59"/>
      <c r="R121" s="51"/>
      <c r="S121" s="65"/>
      <c r="T121" s="64"/>
      <c r="U121" s="67"/>
      <c r="V121" s="74"/>
      <c r="W121" s="6"/>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c r="P122" s="218"/>
      <c r="Q122" s="60"/>
      <c r="R122" s="52"/>
      <c r="S122" s="66"/>
      <c r="T122" s="65"/>
      <c r="U122" s="68"/>
      <c r="V122" s="59"/>
      <c r="W122" s="6"/>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c r="P123" s="218"/>
      <c r="Q123" s="59"/>
      <c r="R123" s="51"/>
      <c r="S123" s="65"/>
      <c r="T123" s="64"/>
      <c r="U123" s="67"/>
      <c r="V123" s="74"/>
      <c r="W123" s="6"/>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c r="P124" s="218"/>
      <c r="Q124" s="60"/>
      <c r="R124" s="52"/>
      <c r="S124" s="66"/>
      <c r="T124" s="65"/>
      <c r="U124" s="68"/>
      <c r="V124" s="59"/>
      <c r="W124" s="6"/>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c r="P125" s="218"/>
      <c r="Q125" s="59"/>
      <c r="R125" s="51"/>
      <c r="S125" s="65"/>
      <c r="T125" s="64"/>
      <c r="U125" s="67"/>
      <c r="V125" s="74"/>
      <c r="W125" s="6"/>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c r="P126" s="218"/>
      <c r="Q126" s="60"/>
      <c r="R126" s="52"/>
      <c r="S126" s="66"/>
      <c r="T126" s="65"/>
      <c r="U126" s="68"/>
      <c r="V126" s="59"/>
      <c r="W126" s="6"/>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c r="P127" s="218"/>
      <c r="Q127" s="59"/>
      <c r="R127" s="51"/>
      <c r="S127" s="65"/>
      <c r="T127" s="64"/>
      <c r="U127" s="67"/>
      <c r="V127" s="74"/>
      <c r="W127" s="6"/>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c r="P128" s="218"/>
      <c r="Q128" s="60"/>
      <c r="R128" s="52"/>
      <c r="S128" s="66"/>
      <c r="T128" s="65"/>
      <c r="U128" s="68"/>
      <c r="V128" s="59"/>
      <c r="W128" s="6"/>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c r="P129" s="218"/>
      <c r="Q129" s="59"/>
      <c r="R129" s="51"/>
      <c r="S129" s="65"/>
      <c r="T129" s="64"/>
      <c r="U129" s="67"/>
      <c r="V129" s="74"/>
      <c r="W129" s="6"/>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c r="P130" s="218"/>
      <c r="Q130" s="60"/>
      <c r="R130" s="52"/>
      <c r="S130" s="66"/>
      <c r="T130" s="65"/>
      <c r="U130" s="68"/>
      <c r="V130" s="75"/>
      <c r="W130" s="6"/>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c r="P131" s="218"/>
      <c r="Q131" s="59"/>
      <c r="R131" s="51"/>
      <c r="S131" s="65"/>
      <c r="T131" s="64"/>
      <c r="U131" s="67"/>
      <c r="V131" s="74"/>
      <c r="W131" s="6"/>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c r="P132" s="218"/>
      <c r="Q132" s="60"/>
      <c r="R132" s="52"/>
      <c r="S132" s="66"/>
      <c r="T132" s="65"/>
      <c r="U132" s="68"/>
      <c r="V132" s="59"/>
      <c r="W132" s="6"/>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c r="P133" s="218"/>
      <c r="Q133" s="59"/>
      <c r="R133" s="51"/>
      <c r="S133" s="65"/>
      <c r="T133" s="64"/>
      <c r="U133" s="67"/>
      <c r="V133" s="74"/>
      <c r="W133" s="6"/>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c r="P134" s="218"/>
      <c r="Q134" s="60"/>
      <c r="R134" s="52"/>
      <c r="S134" s="66"/>
      <c r="T134" s="65"/>
      <c r="U134" s="68"/>
      <c r="V134" s="59"/>
      <c r="W134" s="6"/>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c r="P135" s="218"/>
      <c r="Q135" s="59"/>
      <c r="R135" s="51"/>
      <c r="S135" s="65"/>
      <c r="T135" s="64"/>
      <c r="U135" s="67"/>
      <c r="V135" s="74"/>
      <c r="W135" s="6"/>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c r="P136" s="218"/>
      <c r="Q136" s="60"/>
      <c r="R136" s="52"/>
      <c r="S136" s="66"/>
      <c r="T136" s="65"/>
      <c r="U136" s="68"/>
      <c r="V136" s="59"/>
      <c r="W136" s="6"/>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c r="P137" s="218"/>
      <c r="Q137" s="59"/>
      <c r="R137" s="51"/>
      <c r="S137" s="65"/>
      <c r="T137" s="64"/>
      <c r="U137" s="67"/>
      <c r="V137" s="74"/>
      <c r="W137" s="6"/>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c r="P138" s="218"/>
      <c r="Q138" s="60"/>
      <c r="R138" s="52"/>
      <c r="S138" s="66"/>
      <c r="T138" s="65"/>
      <c r="U138" s="68"/>
      <c r="V138" s="59"/>
      <c r="W138" s="6"/>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c r="P139" s="218"/>
      <c r="Q139" s="59"/>
      <c r="R139" s="51"/>
      <c r="S139" s="65"/>
      <c r="T139" s="64"/>
      <c r="U139" s="67"/>
      <c r="V139" s="74"/>
      <c r="W139" s="6"/>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c r="P140" s="218"/>
      <c r="Q140" s="60"/>
      <c r="R140" s="52"/>
      <c r="S140" s="66"/>
      <c r="T140" s="65"/>
      <c r="U140" s="68"/>
      <c r="V140" s="75"/>
      <c r="W140" s="6"/>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c r="P141" s="218"/>
      <c r="Q141" s="59"/>
      <c r="R141" s="51"/>
      <c r="S141" s="65"/>
      <c r="T141" s="64"/>
      <c r="U141" s="67"/>
      <c r="V141" s="74"/>
      <c r="W141" s="6"/>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c r="P142" s="218"/>
      <c r="Q142" s="60"/>
      <c r="R142" s="52"/>
      <c r="S142" s="66"/>
      <c r="T142" s="65"/>
      <c r="U142" s="68"/>
      <c r="V142" s="59"/>
      <c r="W142" s="6"/>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c r="P143" s="218"/>
      <c r="Q143" s="59"/>
      <c r="R143" s="51"/>
      <c r="S143" s="65"/>
      <c r="T143" s="64"/>
      <c r="U143" s="67"/>
      <c r="V143" s="74"/>
      <c r="W143" s="6"/>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c r="P144" s="218"/>
      <c r="Q144" s="60"/>
      <c r="R144" s="52"/>
      <c r="S144" s="66"/>
      <c r="T144" s="65"/>
      <c r="U144" s="68"/>
      <c r="V144" s="59"/>
      <c r="W144" s="6"/>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c r="P145" s="218"/>
      <c r="Q145" s="59"/>
      <c r="R145" s="51"/>
      <c r="S145" s="65"/>
      <c r="T145" s="64"/>
      <c r="U145" s="67"/>
      <c r="V145" s="74"/>
      <c r="W145" s="6"/>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c r="P146" s="218"/>
      <c r="Q146" s="60"/>
      <c r="R146" s="52"/>
      <c r="S146" s="66"/>
      <c r="T146" s="65"/>
      <c r="U146" s="68"/>
      <c r="V146" s="59"/>
      <c r="W146" s="6"/>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c r="P147" s="218"/>
      <c r="Q147" s="59"/>
      <c r="R147" s="51"/>
      <c r="S147" s="65"/>
      <c r="T147" s="64"/>
      <c r="U147" s="67"/>
      <c r="V147" s="74"/>
      <c r="W147" s="6"/>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c r="P148" s="218"/>
      <c r="Q148" s="60"/>
      <c r="R148" s="52"/>
      <c r="S148" s="66"/>
      <c r="T148" s="65"/>
      <c r="U148" s="68"/>
      <c r="V148" s="59"/>
      <c r="W148" s="6"/>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c r="P149" s="218"/>
      <c r="Q149" s="59"/>
      <c r="R149" s="51"/>
      <c r="S149" s="65"/>
      <c r="T149" s="64"/>
      <c r="U149" s="67"/>
      <c r="V149" s="74"/>
      <c r="W149" s="6"/>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c r="P150" s="218"/>
      <c r="Q150" s="60"/>
      <c r="R150" s="52"/>
      <c r="S150" s="66"/>
      <c r="T150" s="65"/>
      <c r="U150" s="68"/>
      <c r="V150" s="75"/>
      <c r="W150" s="6"/>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c r="P151" s="218"/>
      <c r="Q151" s="59"/>
      <c r="R151" s="51"/>
      <c r="S151" s="65"/>
      <c r="T151" s="64"/>
      <c r="U151" s="67"/>
      <c r="V151" s="74"/>
      <c r="W151" s="6"/>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c r="P152" s="218"/>
      <c r="Q152" s="60"/>
      <c r="R152" s="52"/>
      <c r="S152" s="66"/>
      <c r="T152" s="65"/>
      <c r="U152" s="68"/>
      <c r="V152" s="59"/>
      <c r="W152" s="6"/>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c r="P153" s="218"/>
      <c r="Q153" s="59"/>
      <c r="R153" s="51"/>
      <c r="S153" s="65"/>
      <c r="T153" s="64"/>
      <c r="U153" s="67"/>
      <c r="V153" s="74"/>
      <c r="W153" s="6"/>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c r="P154" s="218"/>
      <c r="Q154" s="60"/>
      <c r="R154" s="52"/>
      <c r="S154" s="66"/>
      <c r="T154" s="65"/>
      <c r="U154" s="68"/>
      <c r="V154" s="59"/>
      <c r="W154" s="6"/>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c r="P155" s="218"/>
      <c r="Q155" s="59"/>
      <c r="R155" s="51"/>
      <c r="S155" s="65"/>
      <c r="T155" s="64"/>
      <c r="U155" s="67"/>
      <c r="V155" s="74"/>
      <c r="W155" s="6"/>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c r="P156" s="218"/>
      <c r="Q156" s="60"/>
      <c r="R156" s="52"/>
      <c r="S156" s="66"/>
      <c r="T156" s="65"/>
      <c r="U156" s="68"/>
      <c r="V156" s="59"/>
      <c r="W156" s="6"/>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c r="P157" s="218"/>
      <c r="Q157" s="59"/>
      <c r="R157" s="51"/>
      <c r="S157" s="65"/>
      <c r="T157" s="64"/>
      <c r="U157" s="67"/>
      <c r="V157" s="74"/>
      <c r="W157" s="6"/>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c r="P158" s="218"/>
      <c r="Q158" s="60"/>
      <c r="R158" s="52"/>
      <c r="S158" s="66"/>
      <c r="T158" s="65"/>
      <c r="U158" s="68"/>
      <c r="V158" s="59"/>
      <c r="W158" s="6"/>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c r="P159" s="218"/>
      <c r="Q159" s="59"/>
      <c r="R159" s="51"/>
      <c r="S159" s="65"/>
      <c r="T159" s="64"/>
      <c r="U159" s="67"/>
      <c r="V159" s="74"/>
      <c r="W159" s="6"/>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c r="P160" s="218"/>
      <c r="Q160" s="60"/>
      <c r="R160" s="52"/>
      <c r="S160" s="66"/>
      <c r="T160" s="65"/>
      <c r="U160" s="68"/>
      <c r="V160" s="75"/>
      <c r="W160" s="6"/>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c r="P161" s="218"/>
      <c r="Q161" s="59"/>
      <c r="R161" s="51"/>
      <c r="S161" s="65"/>
      <c r="T161" s="64"/>
      <c r="U161" s="67"/>
      <c r="V161" s="74"/>
      <c r="W161" s="6"/>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c r="P162" s="218"/>
      <c r="Q162" s="60"/>
      <c r="R162" s="52"/>
      <c r="S162" s="66"/>
      <c r="T162" s="65"/>
      <c r="U162" s="68"/>
      <c r="V162" s="59"/>
      <c r="W162" s="6"/>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c r="P163" s="218"/>
      <c r="Q163" s="59"/>
      <c r="R163" s="51"/>
      <c r="S163" s="65"/>
      <c r="T163" s="64"/>
      <c r="U163" s="67"/>
      <c r="V163" s="74"/>
      <c r="W163" s="6"/>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c r="P164" s="218"/>
      <c r="Q164" s="60"/>
      <c r="R164" s="52"/>
      <c r="S164" s="66"/>
      <c r="T164" s="65"/>
      <c r="U164" s="68"/>
      <c r="V164" s="59"/>
      <c r="W164" s="6"/>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c r="P165" s="218"/>
      <c r="Q165" s="59"/>
      <c r="R165" s="51"/>
      <c r="S165" s="65"/>
      <c r="T165" s="64"/>
      <c r="U165" s="67"/>
      <c r="V165" s="74"/>
      <c r="W165" s="6"/>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c r="P166" s="218"/>
      <c r="Q166" s="60"/>
      <c r="R166" s="52"/>
      <c r="S166" s="66"/>
      <c r="T166" s="65"/>
      <c r="U166" s="68"/>
      <c r="V166" s="59"/>
      <c r="W166" s="6"/>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c r="P167" s="218"/>
      <c r="Q167" s="59"/>
      <c r="R167" s="51"/>
      <c r="S167" s="65"/>
      <c r="T167" s="64"/>
      <c r="U167" s="67"/>
      <c r="V167" s="74"/>
      <c r="W167" s="6"/>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c r="P168" s="218"/>
      <c r="Q168" s="60"/>
      <c r="R168" s="52"/>
      <c r="S168" s="66"/>
      <c r="T168" s="65"/>
      <c r="U168" s="68"/>
      <c r="V168" s="59"/>
      <c r="W168" s="6"/>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c r="P169" s="218"/>
      <c r="Q169" s="59"/>
      <c r="R169" s="51"/>
      <c r="S169" s="65"/>
      <c r="T169" s="64"/>
      <c r="U169" s="67"/>
      <c r="V169" s="74"/>
      <c r="W169" s="6"/>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c r="P170" s="218"/>
      <c r="Q170" s="60"/>
      <c r="R170" s="52"/>
      <c r="S170" s="66"/>
      <c r="T170" s="65"/>
      <c r="U170" s="68"/>
      <c r="V170" s="75"/>
      <c r="W170" s="6"/>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c r="P171" s="218"/>
      <c r="Q171" s="59"/>
      <c r="R171" s="51"/>
      <c r="S171" s="65"/>
      <c r="T171" s="64"/>
      <c r="U171" s="67"/>
      <c r="V171" s="74"/>
      <c r="W171" s="6"/>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c r="P172" s="218"/>
      <c r="Q172" s="60"/>
      <c r="R172" s="52"/>
      <c r="S172" s="66"/>
      <c r="T172" s="65"/>
      <c r="U172" s="68"/>
      <c r="V172" s="59"/>
      <c r="W172" s="6"/>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c r="P173" s="218"/>
      <c r="Q173" s="59"/>
      <c r="R173" s="51"/>
      <c r="S173" s="65"/>
      <c r="T173" s="64"/>
      <c r="U173" s="67"/>
      <c r="V173" s="74"/>
      <c r="W173" s="6"/>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c r="P174" s="218"/>
      <c r="Q174" s="60"/>
      <c r="R174" s="52"/>
      <c r="S174" s="66"/>
      <c r="T174" s="65"/>
      <c r="U174" s="68"/>
      <c r="V174" s="59"/>
      <c r="W174" s="6"/>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c r="P175" s="218"/>
      <c r="Q175" s="59"/>
      <c r="R175" s="51"/>
      <c r="S175" s="65"/>
      <c r="T175" s="64"/>
      <c r="U175" s="67"/>
      <c r="V175" s="74"/>
      <c r="W175" s="6"/>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c r="P176" s="218"/>
      <c r="Q176" s="60"/>
      <c r="R176" s="52"/>
      <c r="S176" s="66"/>
      <c r="T176" s="65"/>
      <c r="U176" s="68"/>
      <c r="V176" s="59"/>
      <c r="W176" s="6"/>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c r="P177" s="218"/>
      <c r="Q177" s="59"/>
      <c r="R177" s="51"/>
      <c r="S177" s="65"/>
      <c r="T177" s="64"/>
      <c r="U177" s="67"/>
      <c r="V177" s="74"/>
      <c r="W177" s="6"/>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c r="P178" s="218"/>
      <c r="Q178" s="60"/>
      <c r="R178" s="52"/>
      <c r="S178" s="66"/>
      <c r="T178" s="65"/>
      <c r="U178" s="68"/>
      <c r="V178" s="59"/>
      <c r="W178" s="6"/>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c r="P179" s="218"/>
      <c r="Q179" s="59"/>
      <c r="R179" s="51"/>
      <c r="S179" s="65"/>
      <c r="T179" s="64"/>
      <c r="U179" s="67"/>
      <c r="V179" s="74"/>
      <c r="W179" s="6"/>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c r="P180" s="218"/>
      <c r="Q180" s="60"/>
      <c r="R180" s="52"/>
      <c r="S180" s="66"/>
      <c r="T180" s="65"/>
      <c r="U180" s="68"/>
      <c r="V180" s="75"/>
      <c r="W180" s="6"/>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c r="P181" s="218"/>
      <c r="Q181" s="59"/>
      <c r="R181" s="51"/>
      <c r="S181" s="65"/>
      <c r="T181" s="64"/>
      <c r="U181" s="67"/>
      <c r="V181" s="74"/>
      <c r="W181" s="6"/>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c r="P182" s="218"/>
      <c r="Q182" s="60"/>
      <c r="R182" s="52"/>
      <c r="S182" s="66"/>
      <c r="T182" s="65"/>
      <c r="U182" s="68"/>
      <c r="V182" s="59"/>
      <c r="W182" s="6"/>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c r="P183" s="218"/>
      <c r="Q183" s="59"/>
      <c r="R183" s="51"/>
      <c r="S183" s="65"/>
      <c r="T183" s="64"/>
      <c r="U183" s="67"/>
      <c r="V183" s="74"/>
      <c r="W183" s="6"/>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c r="P184" s="218"/>
      <c r="Q184" s="60"/>
      <c r="R184" s="52"/>
      <c r="S184" s="66"/>
      <c r="T184" s="65"/>
      <c r="U184" s="68"/>
      <c r="V184" s="59"/>
      <c r="W184" s="6"/>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c r="P185" s="218"/>
      <c r="Q185" s="59"/>
      <c r="R185" s="51"/>
      <c r="S185" s="65"/>
      <c r="T185" s="64"/>
      <c r="U185" s="67"/>
      <c r="V185" s="74"/>
      <c r="W185" s="6"/>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c r="P186" s="218"/>
      <c r="Q186" s="60"/>
      <c r="R186" s="52"/>
      <c r="S186" s="66"/>
      <c r="T186" s="65"/>
      <c r="U186" s="68"/>
      <c r="V186" s="59"/>
      <c r="W186" s="6"/>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c r="P187" s="218"/>
      <c r="Q187" s="59"/>
      <c r="R187" s="51"/>
      <c r="S187" s="65"/>
      <c r="T187" s="64"/>
      <c r="U187" s="67"/>
      <c r="V187" s="74"/>
      <c r="W187" s="6"/>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c r="P188" s="218"/>
      <c r="Q188" s="60"/>
      <c r="R188" s="52"/>
      <c r="S188" s="66"/>
      <c r="T188" s="65"/>
      <c r="U188" s="68"/>
      <c r="V188" s="59"/>
      <c r="W188" s="6"/>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c r="P189" s="218"/>
      <c r="Q189" s="59"/>
      <c r="R189" s="51"/>
      <c r="S189" s="65"/>
      <c r="T189" s="64"/>
      <c r="U189" s="67"/>
      <c r="V189" s="74"/>
      <c r="W189" s="6"/>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c r="P190" s="218"/>
      <c r="Q190" s="60"/>
      <c r="R190" s="52"/>
      <c r="S190" s="66"/>
      <c r="T190" s="65"/>
      <c r="U190" s="68"/>
      <c r="V190" s="75"/>
      <c r="W190" s="6"/>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c r="P191" s="218"/>
      <c r="Q191" s="59"/>
      <c r="R191" s="51"/>
      <c r="S191" s="65"/>
      <c r="T191" s="64"/>
      <c r="U191" s="67"/>
      <c r="V191" s="74"/>
      <c r="W191" s="6"/>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c r="P192" s="218"/>
      <c r="Q192" s="60"/>
      <c r="R192" s="52"/>
      <c r="S192" s="66"/>
      <c r="T192" s="65"/>
      <c r="U192" s="68"/>
      <c r="V192" s="59"/>
      <c r="W192" s="6"/>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c r="P193" s="218"/>
      <c r="Q193" s="59"/>
      <c r="R193" s="51"/>
      <c r="S193" s="65"/>
      <c r="T193" s="64"/>
      <c r="U193" s="67"/>
      <c r="V193" s="74"/>
      <c r="W193" s="6"/>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c r="P194" s="218"/>
      <c r="Q194" s="60"/>
      <c r="R194" s="52"/>
      <c r="S194" s="66"/>
      <c r="T194" s="65"/>
      <c r="U194" s="68"/>
      <c r="V194" s="59"/>
      <c r="W194" s="6"/>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c r="P195" s="218"/>
      <c r="Q195" s="59"/>
      <c r="R195" s="51"/>
      <c r="S195" s="65"/>
      <c r="T195" s="64"/>
      <c r="U195" s="67"/>
      <c r="V195" s="74"/>
      <c r="W195" s="6"/>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c r="P196" s="218"/>
      <c r="Q196" s="60"/>
      <c r="R196" s="52"/>
      <c r="S196" s="66"/>
      <c r="T196" s="65"/>
      <c r="U196" s="68"/>
      <c r="V196" s="59"/>
      <c r="W196" s="6"/>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c r="P197" s="218"/>
      <c r="Q197" s="59"/>
      <c r="R197" s="51"/>
      <c r="S197" s="65"/>
      <c r="T197" s="64"/>
      <c r="U197" s="67"/>
      <c r="V197" s="74"/>
      <c r="W197" s="6"/>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c r="P198" s="218"/>
      <c r="Q198" s="60"/>
      <c r="R198" s="52"/>
      <c r="S198" s="66"/>
      <c r="T198" s="65"/>
      <c r="U198" s="68"/>
      <c r="V198" s="59"/>
      <c r="W198" s="6"/>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c r="P199" s="218"/>
      <c r="Q199" s="59"/>
      <c r="R199" s="51"/>
      <c r="S199" s="65"/>
      <c r="T199" s="64"/>
      <c r="U199" s="67"/>
      <c r="V199" s="74"/>
      <c r="W199" s="6"/>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c r="P200" s="218"/>
      <c r="Q200" s="60"/>
      <c r="R200" s="52"/>
      <c r="S200" s="66"/>
      <c r="T200" s="65"/>
      <c r="U200" s="68"/>
      <c r="V200" s="75"/>
      <c r="W200" s="6"/>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c r="P201" s="218"/>
      <c r="Q201" s="59"/>
      <c r="R201" s="51"/>
      <c r="S201" s="65"/>
      <c r="T201" s="64"/>
      <c r="U201" s="67"/>
      <c r="V201" s="74"/>
      <c r="W201" s="6"/>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c r="P202" s="218"/>
      <c r="Q202" s="60"/>
      <c r="R202" s="52"/>
      <c r="S202" s="66"/>
      <c r="T202" s="65"/>
      <c r="U202" s="68"/>
      <c r="V202" s="59"/>
      <c r="W202" s="6"/>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c r="P203" s="218"/>
      <c r="Q203" s="59"/>
      <c r="R203" s="51"/>
      <c r="S203" s="65"/>
      <c r="T203" s="64"/>
      <c r="U203" s="67"/>
      <c r="V203" s="74"/>
      <c r="W203" s="6"/>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c r="P204" s="218"/>
      <c r="Q204" s="60"/>
      <c r="R204" s="52"/>
      <c r="S204" s="66"/>
      <c r="T204" s="65"/>
      <c r="U204" s="68"/>
      <c r="V204" s="59"/>
      <c r="W204" s="6"/>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c r="P205" s="218"/>
      <c r="Q205" s="59"/>
      <c r="R205" s="51"/>
      <c r="S205" s="65"/>
      <c r="T205" s="64"/>
      <c r="U205" s="67"/>
      <c r="V205" s="74"/>
      <c r="W205" s="6"/>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c r="P206" s="218"/>
      <c r="Q206" s="60"/>
      <c r="R206" s="52"/>
      <c r="S206" s="66"/>
      <c r="T206" s="65"/>
      <c r="U206" s="68"/>
      <c r="V206" s="59"/>
      <c r="W206" s="6"/>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c r="P207" s="218"/>
      <c r="Q207" s="59"/>
      <c r="R207" s="51"/>
      <c r="S207" s="65"/>
      <c r="T207" s="64"/>
      <c r="U207" s="67"/>
      <c r="V207" s="74"/>
      <c r="W207" s="6"/>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c r="P208" s="218"/>
      <c r="Q208" s="60"/>
      <c r="R208" s="52"/>
      <c r="S208" s="66"/>
      <c r="T208" s="65"/>
      <c r="U208" s="68"/>
      <c r="V208" s="59"/>
      <c r="W208" s="6"/>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c r="P209" s="218"/>
      <c r="Q209" s="59"/>
      <c r="R209" s="51"/>
      <c r="S209" s="65"/>
      <c r="T209" s="64"/>
      <c r="U209" s="67"/>
      <c r="V209" s="74"/>
      <c r="W209" s="6"/>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c r="P210" s="218"/>
      <c r="Q210" s="60"/>
      <c r="R210" s="52"/>
      <c r="S210" s="66"/>
      <c r="T210" s="65"/>
      <c r="U210" s="68"/>
      <c r="V210" s="75"/>
      <c r="W210" s="6"/>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c r="P211" s="218"/>
      <c r="Q211" s="59"/>
      <c r="R211" s="51"/>
      <c r="S211" s="65"/>
      <c r="T211" s="64"/>
      <c r="U211" s="67"/>
      <c r="V211" s="74"/>
      <c r="W211" s="6"/>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c r="P212" s="218"/>
      <c r="Q212" s="60"/>
      <c r="R212" s="52"/>
      <c r="S212" s="66"/>
      <c r="T212" s="65"/>
      <c r="U212" s="68"/>
      <c r="V212" s="59"/>
      <c r="W212" s="6"/>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c r="P213" s="218"/>
      <c r="Q213" s="59"/>
      <c r="R213" s="51"/>
      <c r="S213" s="65"/>
      <c r="T213" s="64"/>
      <c r="U213" s="67"/>
      <c r="V213" s="74"/>
      <c r="W213" s="6"/>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c r="P214" s="218"/>
      <c r="Q214" s="60"/>
      <c r="R214" s="52"/>
      <c r="S214" s="66"/>
      <c r="T214" s="65"/>
      <c r="U214" s="68"/>
      <c r="V214" s="59"/>
      <c r="W214" s="6"/>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c r="P215" s="218"/>
      <c r="Q215" s="59"/>
      <c r="R215" s="51"/>
      <c r="S215" s="65"/>
      <c r="T215" s="64"/>
      <c r="U215" s="67"/>
      <c r="V215" s="74"/>
      <c r="W215" s="6"/>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c r="P216" s="218"/>
      <c r="Q216" s="60"/>
      <c r="R216" s="52"/>
      <c r="S216" s="66"/>
      <c r="T216" s="65"/>
      <c r="U216" s="68"/>
      <c r="V216" s="59"/>
      <c r="W216" s="6"/>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c r="P217" s="218"/>
      <c r="Q217" s="59"/>
      <c r="R217" s="51"/>
      <c r="S217" s="65"/>
      <c r="T217" s="64"/>
      <c r="U217" s="67"/>
      <c r="V217" s="74"/>
      <c r="W217" s="6"/>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c r="P218" s="218"/>
      <c r="Q218" s="60"/>
      <c r="R218" s="52"/>
      <c r="S218" s="66"/>
      <c r="T218" s="65"/>
      <c r="U218" s="68"/>
      <c r="V218" s="59"/>
      <c r="W218" s="6"/>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c r="P219" s="218"/>
      <c r="Q219" s="59"/>
      <c r="R219" s="51"/>
      <c r="S219" s="65"/>
      <c r="T219" s="64"/>
      <c r="U219" s="67"/>
      <c r="V219" s="74"/>
      <c r="W219" s="6"/>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c r="P220" s="218"/>
      <c r="Q220" s="60"/>
      <c r="R220" s="52"/>
      <c r="S220" s="66"/>
      <c r="T220" s="65"/>
      <c r="U220" s="68"/>
      <c r="V220" s="75"/>
      <c r="W220" s="6"/>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c r="P221" s="218"/>
      <c r="Q221" s="59"/>
      <c r="R221" s="51"/>
      <c r="S221" s="65"/>
      <c r="T221" s="64"/>
      <c r="U221" s="67"/>
      <c r="V221" s="74"/>
      <c r="W221" s="6"/>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c r="P222" s="218"/>
      <c r="Q222" s="60"/>
      <c r="R222" s="52"/>
      <c r="S222" s="66"/>
      <c r="T222" s="65"/>
      <c r="U222" s="68"/>
      <c r="V222" s="59"/>
      <c r="W222" s="6"/>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c r="P223" s="218"/>
      <c r="Q223" s="59"/>
      <c r="R223" s="51"/>
      <c r="S223" s="65"/>
      <c r="T223" s="64"/>
      <c r="U223" s="67"/>
      <c r="V223" s="74"/>
      <c r="W223" s="6"/>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c r="P224" s="218"/>
      <c r="Q224" s="60"/>
      <c r="R224" s="52"/>
      <c r="S224" s="66"/>
      <c r="T224" s="65"/>
      <c r="U224" s="68"/>
      <c r="V224" s="59"/>
      <c r="W224" s="6"/>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c r="P225" s="218"/>
      <c r="Q225" s="59"/>
      <c r="R225" s="51"/>
      <c r="S225" s="65"/>
      <c r="T225" s="64"/>
      <c r="U225" s="67"/>
      <c r="V225" s="74"/>
      <c r="W225" s="6"/>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c r="P226" s="218"/>
      <c r="Q226" s="60"/>
      <c r="R226" s="52"/>
      <c r="S226" s="66"/>
      <c r="T226" s="65"/>
      <c r="U226" s="68"/>
      <c r="V226" s="59"/>
      <c r="W226" s="6"/>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c r="P227" s="218"/>
      <c r="Q227" s="59"/>
      <c r="R227" s="51"/>
      <c r="S227" s="65"/>
      <c r="T227" s="64"/>
      <c r="U227" s="67"/>
      <c r="V227" s="74"/>
      <c r="W227" s="6"/>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c r="P228" s="218"/>
      <c r="Q228" s="60"/>
      <c r="R228" s="52"/>
      <c r="S228" s="66"/>
      <c r="T228" s="65"/>
      <c r="U228" s="68"/>
      <c r="V228" s="59"/>
      <c r="W228" s="6"/>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c r="P229" s="218"/>
      <c r="Q229" s="59"/>
      <c r="R229" s="51"/>
      <c r="S229" s="65"/>
      <c r="T229" s="64"/>
      <c r="U229" s="67"/>
      <c r="V229" s="74"/>
      <c r="W229" s="6"/>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c r="P230" s="218"/>
      <c r="Q230" s="60"/>
      <c r="R230" s="52"/>
      <c r="S230" s="66"/>
      <c r="T230" s="65"/>
      <c r="U230" s="68"/>
      <c r="V230" s="75"/>
      <c r="W230" s="6"/>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c r="P231" s="218"/>
      <c r="Q231" s="59"/>
      <c r="R231" s="51"/>
      <c r="S231" s="65"/>
      <c r="T231" s="64"/>
      <c r="U231" s="67"/>
      <c r="V231" s="74"/>
      <c r="W231" s="6"/>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c r="P232" s="218"/>
      <c r="Q232" s="60"/>
      <c r="R232" s="52"/>
      <c r="S232" s="66"/>
      <c r="T232" s="65"/>
      <c r="U232" s="68"/>
      <c r="V232" s="59"/>
      <c r="W232" s="6"/>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c r="P233" s="218"/>
      <c r="Q233" s="59"/>
      <c r="R233" s="51"/>
      <c r="S233" s="65"/>
      <c r="T233" s="64"/>
      <c r="U233" s="67"/>
      <c r="V233" s="74"/>
      <c r="W233" s="6"/>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c r="P234" s="218"/>
      <c r="Q234" s="60"/>
      <c r="R234" s="52"/>
      <c r="S234" s="66"/>
      <c r="T234" s="65"/>
      <c r="U234" s="68"/>
      <c r="V234" s="59"/>
      <c r="W234" s="6"/>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c r="P235" s="218"/>
      <c r="Q235" s="59"/>
      <c r="R235" s="51"/>
      <c r="S235" s="65"/>
      <c r="T235" s="64"/>
      <c r="U235" s="67"/>
      <c r="V235" s="74"/>
      <c r="W235" s="6"/>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c r="P236" s="218"/>
      <c r="Q236" s="60"/>
      <c r="R236" s="52"/>
      <c r="S236" s="66"/>
      <c r="T236" s="65"/>
      <c r="U236" s="68"/>
      <c r="V236" s="59"/>
      <c r="W236" s="6"/>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c r="P237" s="218"/>
      <c r="Q237" s="59"/>
      <c r="R237" s="51"/>
      <c r="S237" s="65"/>
      <c r="T237" s="64"/>
      <c r="U237" s="67"/>
      <c r="V237" s="74"/>
      <c r="W237" s="6"/>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c r="P238" s="218"/>
      <c r="Q238" s="60"/>
      <c r="R238" s="52"/>
      <c r="S238" s="66"/>
      <c r="T238" s="65"/>
      <c r="U238" s="68"/>
      <c r="V238" s="59"/>
      <c r="W238" s="6"/>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c r="P239" s="218"/>
      <c r="Q239" s="59"/>
      <c r="R239" s="51"/>
      <c r="S239" s="65"/>
      <c r="T239" s="64"/>
      <c r="U239" s="67"/>
      <c r="V239" s="74"/>
      <c r="W239" s="6"/>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c r="P240" s="218"/>
      <c r="Q240" s="60"/>
      <c r="R240" s="52"/>
      <c r="S240" s="66"/>
      <c r="T240" s="65"/>
      <c r="U240" s="68"/>
      <c r="V240" s="75"/>
      <c r="W240" s="6"/>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c r="P241" s="218"/>
      <c r="Q241" s="59"/>
      <c r="R241" s="51"/>
      <c r="S241" s="65"/>
      <c r="T241" s="64"/>
      <c r="U241" s="67"/>
      <c r="V241" s="74"/>
      <c r="W241" s="6"/>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c r="P242" s="218"/>
      <c r="Q242" s="60"/>
      <c r="R242" s="52"/>
      <c r="S242" s="66"/>
      <c r="T242" s="65"/>
      <c r="U242" s="68"/>
      <c r="V242" s="59"/>
      <c r="W242" s="6"/>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c r="P243" s="218"/>
      <c r="Q243" s="59"/>
      <c r="R243" s="51"/>
      <c r="S243" s="65"/>
      <c r="T243" s="64"/>
      <c r="U243" s="67"/>
      <c r="V243" s="74"/>
      <c r="W243" s="6"/>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c r="P244" s="218"/>
      <c r="Q244" s="60"/>
      <c r="R244" s="52"/>
      <c r="S244" s="66"/>
      <c r="T244" s="65"/>
      <c r="U244" s="68"/>
      <c r="V244" s="59"/>
      <c r="W244" s="6"/>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c r="P245" s="218"/>
      <c r="Q245" s="59"/>
      <c r="R245" s="51"/>
      <c r="S245" s="65"/>
      <c r="T245" s="64"/>
      <c r="U245" s="67"/>
      <c r="V245" s="74"/>
      <c r="W245" s="6"/>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c r="P246" s="218"/>
      <c r="Q246" s="60"/>
      <c r="R246" s="52"/>
      <c r="S246" s="66"/>
      <c r="T246" s="65"/>
      <c r="U246" s="68"/>
      <c r="V246" s="59"/>
      <c r="W246" s="6"/>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c r="P247" s="218"/>
      <c r="Q247" s="59"/>
      <c r="R247" s="51"/>
      <c r="S247" s="65"/>
      <c r="T247" s="64"/>
      <c r="U247" s="67"/>
      <c r="V247" s="74"/>
      <c r="W247" s="6"/>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c r="P248" s="218"/>
      <c r="Q248" s="60"/>
      <c r="R248" s="52"/>
      <c r="S248" s="66"/>
      <c r="T248" s="65"/>
      <c r="U248" s="68"/>
      <c r="V248" s="59"/>
      <c r="W248" s="6"/>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c r="P249" s="218"/>
      <c r="Q249" s="59"/>
      <c r="R249" s="51"/>
      <c r="S249" s="65"/>
      <c r="T249" s="64"/>
      <c r="U249" s="67"/>
      <c r="V249" s="74"/>
      <c r="W249" s="6"/>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c r="P250" s="218"/>
      <c r="Q250" s="60"/>
      <c r="R250" s="52"/>
      <c r="S250" s="66"/>
      <c r="T250" s="65"/>
      <c r="U250" s="68"/>
      <c r="V250" s="75"/>
      <c r="W250" s="6"/>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c r="P251" s="218"/>
      <c r="Q251" s="59"/>
      <c r="R251" s="51"/>
      <c r="S251" s="65"/>
      <c r="T251" s="64"/>
      <c r="U251" s="67"/>
      <c r="V251" s="74"/>
      <c r="W251" s="6"/>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c r="P252" s="218"/>
      <c r="Q252" s="60"/>
      <c r="R252" s="52"/>
      <c r="S252" s="66"/>
      <c r="T252" s="65"/>
      <c r="U252" s="68"/>
      <c r="V252" s="59"/>
      <c r="W252" s="6"/>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c r="P253" s="218"/>
      <c r="Q253" s="59"/>
      <c r="R253" s="51"/>
      <c r="S253" s="65"/>
      <c r="T253" s="64"/>
      <c r="U253" s="67"/>
      <c r="V253" s="74"/>
      <c r="W253" s="6"/>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c r="P254" s="218"/>
      <c r="Q254" s="60"/>
      <c r="R254" s="52"/>
      <c r="S254" s="66"/>
      <c r="T254" s="65"/>
      <c r="U254" s="68"/>
      <c r="V254" s="59"/>
      <c r="W254" s="6"/>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c r="P255" s="218"/>
      <c r="Q255" s="59"/>
      <c r="R255" s="51"/>
      <c r="S255" s="65"/>
      <c r="T255" s="64"/>
      <c r="U255" s="67"/>
      <c r="V255" s="74"/>
      <c r="W255" s="6"/>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c r="P256" s="218"/>
      <c r="Q256" s="60"/>
      <c r="R256" s="52"/>
      <c r="S256" s="66"/>
      <c r="T256" s="65"/>
      <c r="U256" s="68"/>
      <c r="V256" s="59"/>
      <c r="W256" s="6"/>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c r="P257" s="218"/>
      <c r="Q257" s="59"/>
      <c r="R257" s="51"/>
      <c r="S257" s="65"/>
      <c r="T257" s="64"/>
      <c r="U257" s="67"/>
      <c r="V257" s="74"/>
      <c r="W257" s="6"/>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c r="P258" s="218"/>
      <c r="Q258" s="60"/>
      <c r="R258" s="52"/>
      <c r="S258" s="66"/>
      <c r="T258" s="65"/>
      <c r="U258" s="68"/>
      <c r="V258" s="59"/>
      <c r="W258" s="6"/>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c r="P259" s="218"/>
      <c r="Q259" s="59"/>
      <c r="R259" s="51"/>
      <c r="S259" s="65"/>
      <c r="T259" s="64"/>
      <c r="U259" s="67"/>
      <c r="V259" s="74"/>
      <c r="W259" s="6"/>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c r="P260" s="218"/>
      <c r="Q260" s="60"/>
      <c r="R260" s="52"/>
      <c r="S260" s="66"/>
      <c r="T260" s="65"/>
      <c r="U260" s="68"/>
      <c r="V260" s="75"/>
      <c r="W260" s="6"/>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c r="P261" s="218"/>
      <c r="Q261" s="59"/>
      <c r="R261" s="51"/>
      <c r="S261" s="65"/>
      <c r="T261" s="64"/>
      <c r="U261" s="67"/>
      <c r="V261" s="74"/>
      <c r="W261" s="6"/>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c r="P262" s="218"/>
      <c r="Q262" s="60"/>
      <c r="R262" s="52"/>
      <c r="S262" s="66"/>
      <c r="T262" s="65"/>
      <c r="U262" s="68"/>
      <c r="V262" s="59"/>
      <c r="W262" s="6"/>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c r="P263" s="218"/>
      <c r="Q263" s="59"/>
      <c r="R263" s="51"/>
      <c r="S263" s="65"/>
      <c r="T263" s="64"/>
      <c r="U263" s="67"/>
      <c r="V263" s="74"/>
      <c r="W263" s="6"/>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c r="P264" s="218"/>
      <c r="Q264" s="60"/>
      <c r="R264" s="52"/>
      <c r="S264" s="66"/>
      <c r="T264" s="65"/>
      <c r="U264" s="68"/>
      <c r="V264" s="59"/>
      <c r="W264" s="6"/>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c r="P265" s="218"/>
      <c r="Q265" s="59"/>
      <c r="R265" s="51"/>
      <c r="S265" s="65"/>
      <c r="T265" s="64"/>
      <c r="U265" s="67"/>
      <c r="V265" s="74"/>
      <c r="W265" s="6"/>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c r="P266" s="218"/>
      <c r="Q266" s="60"/>
      <c r="R266" s="52"/>
      <c r="S266" s="66"/>
      <c r="T266" s="65"/>
      <c r="U266" s="68"/>
      <c r="V266" s="59"/>
      <c r="W266" s="6"/>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c r="P267" s="218"/>
      <c r="Q267" s="59"/>
      <c r="R267" s="51"/>
      <c r="S267" s="65"/>
      <c r="T267" s="64"/>
      <c r="U267" s="67"/>
      <c r="V267" s="74"/>
      <c r="W267" s="6"/>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c r="P268" s="218"/>
      <c r="Q268" s="60"/>
      <c r="R268" s="52"/>
      <c r="S268" s="66"/>
      <c r="T268" s="65"/>
      <c r="U268" s="68"/>
      <c r="V268" s="59"/>
      <c r="W268" s="6"/>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c r="P269" s="218"/>
      <c r="Q269" s="59"/>
      <c r="R269" s="51"/>
      <c r="S269" s="65"/>
      <c r="T269" s="64"/>
      <c r="U269" s="67"/>
      <c r="V269" s="74"/>
      <c r="W269" s="6"/>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c r="P270" s="218"/>
      <c r="Q270" s="60"/>
      <c r="R270" s="52"/>
      <c r="S270" s="66"/>
      <c r="T270" s="65"/>
      <c r="U270" s="68"/>
      <c r="V270" s="75"/>
      <c r="W270" s="6"/>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c r="P271" s="218"/>
      <c r="Q271" s="59"/>
      <c r="R271" s="51"/>
      <c r="S271" s="65"/>
      <c r="T271" s="64"/>
      <c r="U271" s="67"/>
      <c r="V271" s="74"/>
      <c r="W271" s="6"/>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c r="P272" s="218"/>
      <c r="Q272" s="60"/>
      <c r="R272" s="52"/>
      <c r="S272" s="66"/>
      <c r="T272" s="65"/>
      <c r="U272" s="68"/>
      <c r="V272" s="59"/>
      <c r="W272" s="6"/>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c r="P273" s="218"/>
      <c r="Q273" s="59"/>
      <c r="R273" s="51"/>
      <c r="S273" s="65"/>
      <c r="T273" s="64"/>
      <c r="U273" s="67"/>
      <c r="V273" s="74"/>
      <c r="W273" s="6"/>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c r="P274" s="218"/>
      <c r="Q274" s="60"/>
      <c r="R274" s="52"/>
      <c r="S274" s="66"/>
      <c r="T274" s="65"/>
      <c r="U274" s="68"/>
      <c r="V274" s="59"/>
      <c r="W274" s="6"/>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c r="P275" s="218"/>
      <c r="Q275" s="59"/>
      <c r="R275" s="51"/>
      <c r="S275" s="65"/>
      <c r="T275" s="64"/>
      <c r="U275" s="67"/>
      <c r="V275" s="74"/>
      <c r="W275" s="6"/>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c r="P276" s="218"/>
      <c r="Q276" s="60"/>
      <c r="R276" s="52"/>
      <c r="S276" s="66"/>
      <c r="T276" s="65"/>
      <c r="U276" s="68"/>
      <c r="V276" s="59"/>
      <c r="W276" s="6"/>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c r="P277" s="218"/>
      <c r="Q277" s="59"/>
      <c r="R277" s="51"/>
      <c r="S277" s="65"/>
      <c r="T277" s="64"/>
      <c r="U277" s="67"/>
      <c r="V277" s="74"/>
      <c r="W277" s="6"/>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c r="P278" s="218"/>
      <c r="Q278" s="60"/>
      <c r="R278" s="52"/>
      <c r="S278" s="66"/>
      <c r="T278" s="65"/>
      <c r="U278" s="68"/>
      <c r="V278" s="59"/>
      <c r="W278" s="6"/>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c r="P279" s="218"/>
      <c r="Q279" s="59"/>
      <c r="R279" s="51"/>
      <c r="S279" s="65"/>
      <c r="T279" s="64"/>
      <c r="U279" s="67"/>
      <c r="V279" s="74"/>
      <c r="W279" s="6"/>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c r="P280" s="218"/>
      <c r="Q280" s="60"/>
      <c r="R280" s="52"/>
      <c r="S280" s="66"/>
      <c r="T280" s="65"/>
      <c r="U280" s="68"/>
      <c r="V280" s="75"/>
      <c r="W280" s="6"/>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c r="P281" s="218"/>
      <c r="Q281" s="59"/>
      <c r="R281" s="51"/>
      <c r="S281" s="65"/>
      <c r="T281" s="64"/>
      <c r="U281" s="67"/>
      <c r="V281" s="74"/>
      <c r="W281" s="6"/>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c r="P282" s="218"/>
      <c r="Q282" s="60"/>
      <c r="R282" s="52"/>
      <c r="S282" s="66"/>
      <c r="T282" s="65"/>
      <c r="U282" s="68"/>
      <c r="V282" s="59"/>
      <c r="W282" s="6"/>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c r="P283" s="218"/>
      <c r="Q283" s="59"/>
      <c r="R283" s="51"/>
      <c r="S283" s="65"/>
      <c r="T283" s="64"/>
      <c r="U283" s="67"/>
      <c r="V283" s="74"/>
      <c r="W283" s="6"/>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c r="P284" s="218"/>
      <c r="Q284" s="60"/>
      <c r="R284" s="52"/>
      <c r="S284" s="66"/>
      <c r="T284" s="65"/>
      <c r="U284" s="68"/>
      <c r="V284" s="59"/>
      <c r="W284" s="6"/>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c r="P285" s="218"/>
      <c r="Q285" s="59"/>
      <c r="R285" s="51"/>
      <c r="S285" s="65"/>
      <c r="T285" s="64"/>
      <c r="U285" s="67"/>
      <c r="V285" s="74"/>
      <c r="W285" s="6"/>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c r="P286" s="218"/>
      <c r="Q286" s="60"/>
      <c r="R286" s="52"/>
      <c r="S286" s="66"/>
      <c r="T286" s="65"/>
      <c r="U286" s="68"/>
      <c r="V286" s="59"/>
      <c r="W286" s="6"/>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c r="P287" s="218"/>
      <c r="Q287" s="59"/>
      <c r="R287" s="51"/>
      <c r="S287" s="65"/>
      <c r="T287" s="64"/>
      <c r="U287" s="67"/>
      <c r="V287" s="74"/>
      <c r="W287" s="6"/>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c r="P288" s="218"/>
      <c r="Q288" s="60"/>
      <c r="R288" s="52"/>
      <c r="S288" s="66"/>
      <c r="T288" s="65"/>
      <c r="U288" s="68"/>
      <c r="V288" s="59"/>
      <c r="W288" s="6"/>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c r="P289" s="218"/>
      <c r="Q289" s="59"/>
      <c r="R289" s="51"/>
      <c r="S289" s="65"/>
      <c r="T289" s="64"/>
      <c r="U289" s="67"/>
      <c r="V289" s="74"/>
      <c r="W289" s="6"/>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c r="P290" s="218"/>
      <c r="Q290" s="60"/>
      <c r="R290" s="52"/>
      <c r="S290" s="66"/>
      <c r="T290" s="65"/>
      <c r="U290" s="68"/>
      <c r="V290" s="75"/>
      <c r="W290" s="6"/>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c r="P291" s="218"/>
      <c r="Q291" s="59"/>
      <c r="R291" s="51"/>
      <c r="S291" s="65"/>
      <c r="T291" s="64"/>
      <c r="U291" s="67"/>
      <c r="V291" s="74"/>
      <c r="W291" s="6"/>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c r="P292" s="218"/>
      <c r="Q292" s="60"/>
      <c r="R292" s="52"/>
      <c r="S292" s="66"/>
      <c r="T292" s="65"/>
      <c r="U292" s="68"/>
      <c r="V292" s="59"/>
      <c r="W292" s="6"/>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c r="P293" s="218"/>
      <c r="Q293" s="59"/>
      <c r="R293" s="51"/>
      <c r="S293" s="65"/>
      <c r="T293" s="64"/>
      <c r="U293" s="67"/>
      <c r="V293" s="74"/>
      <c r="W293" s="6"/>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c r="P294" s="218"/>
      <c r="Q294" s="60"/>
      <c r="R294" s="52"/>
      <c r="S294" s="66"/>
      <c r="T294" s="65"/>
      <c r="U294" s="68"/>
      <c r="V294" s="59"/>
      <c r="W294" s="6"/>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c r="P295" s="218"/>
      <c r="Q295" s="59"/>
      <c r="R295" s="51"/>
      <c r="S295" s="65"/>
      <c r="T295" s="64"/>
      <c r="U295" s="67"/>
      <c r="V295" s="74"/>
      <c r="W295" s="6"/>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c r="P296" s="218"/>
      <c r="Q296" s="60"/>
      <c r="R296" s="52"/>
      <c r="S296" s="66"/>
      <c r="T296" s="65"/>
      <c r="U296" s="68"/>
      <c r="V296" s="59"/>
      <c r="W296" s="6"/>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c r="P297" s="218"/>
      <c r="Q297" s="59"/>
      <c r="R297" s="51"/>
      <c r="S297" s="65"/>
      <c r="T297" s="64"/>
      <c r="U297" s="67"/>
      <c r="V297" s="74"/>
      <c r="W297" s="6"/>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c r="P298" s="218"/>
      <c r="Q298" s="60"/>
      <c r="R298" s="52"/>
      <c r="S298" s="66"/>
      <c r="T298" s="65"/>
      <c r="U298" s="68"/>
      <c r="V298" s="59"/>
      <c r="W298" s="6"/>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c r="P299" s="218"/>
      <c r="Q299" s="59"/>
      <c r="R299" s="51"/>
      <c r="S299" s="65"/>
      <c r="T299" s="64"/>
      <c r="U299" s="67"/>
      <c r="V299" s="74"/>
      <c r="W299" s="6"/>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c r="P300" s="218"/>
      <c r="Q300" s="60"/>
      <c r="R300" s="52"/>
      <c r="S300" s="66"/>
      <c r="T300" s="65"/>
      <c r="U300" s="68"/>
      <c r="V300" s="75"/>
      <c r="W300" s="6"/>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c r="P301" s="218"/>
      <c r="Q301" s="59"/>
      <c r="R301" s="51"/>
      <c r="S301" s="65"/>
      <c r="T301" s="64"/>
      <c r="U301" s="67"/>
      <c r="V301" s="74"/>
      <c r="W301" s="6"/>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c r="P302" s="218"/>
      <c r="Q302" s="60"/>
      <c r="R302" s="52"/>
      <c r="S302" s="66"/>
      <c r="T302" s="65"/>
      <c r="U302" s="68"/>
      <c r="V302" s="59"/>
      <c r="W302" s="6"/>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c r="P303" s="218"/>
      <c r="Q303" s="59"/>
      <c r="R303" s="51"/>
      <c r="S303" s="65"/>
      <c r="T303" s="64"/>
      <c r="U303" s="67"/>
      <c r="V303" s="74"/>
      <c r="W303" s="6"/>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c r="P304" s="218"/>
      <c r="Q304" s="60"/>
      <c r="R304" s="52"/>
      <c r="S304" s="66"/>
      <c r="T304" s="65"/>
      <c r="U304" s="68"/>
      <c r="V304" s="59"/>
      <c r="W304" s="6"/>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c r="P305" s="218"/>
      <c r="Q305" s="59"/>
      <c r="R305" s="51"/>
      <c r="S305" s="65"/>
      <c r="T305" s="64"/>
      <c r="U305" s="67"/>
      <c r="V305" s="74"/>
      <c r="W305" s="6"/>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c r="P306" s="218"/>
      <c r="Q306" s="60"/>
      <c r="R306" s="52"/>
      <c r="S306" s="66"/>
      <c r="T306" s="65"/>
      <c r="U306" s="68"/>
      <c r="V306" s="59"/>
      <c r="W306" s="6"/>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c r="P307" s="218"/>
      <c r="Q307" s="59"/>
      <c r="R307" s="51"/>
      <c r="S307" s="65"/>
      <c r="T307" s="64"/>
      <c r="U307" s="67"/>
      <c r="V307" s="74"/>
      <c r="W307" s="6"/>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c r="P308" s="218"/>
      <c r="Q308" s="60"/>
      <c r="R308" s="52"/>
      <c r="S308" s="66"/>
      <c r="T308" s="65"/>
      <c r="U308" s="68"/>
      <c r="V308" s="59"/>
      <c r="W308" s="6"/>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c r="P309" s="218"/>
      <c r="Q309" s="59"/>
      <c r="R309" s="51"/>
      <c r="S309" s="65"/>
      <c r="T309" s="64"/>
      <c r="U309" s="67"/>
      <c r="V309" s="74"/>
      <c r="W309" s="6"/>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c r="P310" s="218"/>
      <c r="Q310" s="60"/>
      <c r="R310" s="52"/>
      <c r="S310" s="66"/>
      <c r="T310" s="65"/>
      <c r="U310" s="68"/>
      <c r="V310" s="75"/>
      <c r="W310" s="6"/>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c r="P311" s="218"/>
      <c r="Q311" s="59"/>
      <c r="R311" s="51"/>
      <c r="S311" s="65"/>
      <c r="T311" s="64"/>
      <c r="U311" s="67"/>
      <c r="V311" s="74"/>
      <c r="W311" s="6"/>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c r="P312" s="218"/>
      <c r="Q312" s="60"/>
      <c r="R312" s="52"/>
      <c r="S312" s="66"/>
      <c r="T312" s="65"/>
      <c r="U312" s="68"/>
      <c r="V312" s="59"/>
      <c r="W312" s="6"/>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c r="P313" s="218"/>
      <c r="Q313" s="59"/>
      <c r="R313" s="51"/>
      <c r="S313" s="65"/>
      <c r="T313" s="64"/>
      <c r="U313" s="67"/>
      <c r="V313" s="74"/>
      <c r="W313" s="6"/>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c r="P314" s="218"/>
      <c r="Q314" s="60"/>
      <c r="R314" s="52"/>
      <c r="S314" s="66"/>
      <c r="T314" s="65"/>
      <c r="U314" s="68"/>
      <c r="V314" s="59"/>
      <c r="W314" s="6"/>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c r="P315" s="218"/>
      <c r="Q315" s="59"/>
      <c r="R315" s="51"/>
      <c r="S315" s="65"/>
      <c r="T315" s="64"/>
      <c r="U315" s="67"/>
      <c r="V315" s="74"/>
      <c r="W315" s="6"/>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c r="P316" s="218"/>
      <c r="Q316" s="60"/>
      <c r="R316" s="52"/>
      <c r="S316" s="66"/>
      <c r="T316" s="65"/>
      <c r="U316" s="68"/>
      <c r="V316" s="59"/>
      <c r="W316" s="6"/>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c r="P317" s="218"/>
      <c r="Q317" s="59"/>
      <c r="R317" s="51"/>
      <c r="S317" s="65"/>
      <c r="T317" s="64"/>
      <c r="U317" s="67"/>
      <c r="V317" s="74"/>
      <c r="W317" s="6"/>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c r="P318" s="218"/>
      <c r="Q318" s="60"/>
      <c r="R318" s="52"/>
      <c r="S318" s="66"/>
      <c r="T318" s="65"/>
      <c r="U318" s="68"/>
      <c r="V318" s="59"/>
      <c r="W318" s="6"/>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c r="P319" s="218"/>
      <c r="Q319" s="59"/>
      <c r="R319" s="51"/>
      <c r="S319" s="65"/>
      <c r="T319" s="64"/>
      <c r="U319" s="67"/>
      <c r="V319" s="74"/>
      <c r="W319" s="6"/>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c r="P320" s="218"/>
      <c r="Q320" s="60"/>
      <c r="R320" s="52"/>
      <c r="S320" s="66"/>
      <c r="T320" s="65"/>
      <c r="U320" s="68"/>
      <c r="V320" s="75"/>
      <c r="W320" s="6"/>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c r="P321" s="218"/>
      <c r="Q321" s="59"/>
      <c r="R321" s="51"/>
      <c r="S321" s="65"/>
      <c r="T321" s="64"/>
      <c r="U321" s="67"/>
      <c r="V321" s="74"/>
      <c r="W321" s="6"/>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c r="P322" s="218"/>
      <c r="Q322" s="60"/>
      <c r="R322" s="52"/>
      <c r="S322" s="66"/>
      <c r="T322" s="65"/>
      <c r="U322" s="68"/>
      <c r="V322" s="59"/>
      <c r="W322" s="6"/>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c r="P323" s="218"/>
      <c r="Q323" s="59"/>
      <c r="R323" s="51"/>
      <c r="S323" s="65"/>
      <c r="T323" s="64"/>
      <c r="U323" s="67"/>
      <c r="V323" s="74"/>
      <c r="W323" s="6"/>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c r="P324" s="218"/>
      <c r="Q324" s="60"/>
      <c r="R324" s="52"/>
      <c r="S324" s="66"/>
      <c r="T324" s="65"/>
      <c r="U324" s="68"/>
      <c r="V324" s="59"/>
      <c r="W324" s="6"/>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c r="P325" s="218"/>
      <c r="Q325" s="59"/>
      <c r="R325" s="51"/>
      <c r="S325" s="65"/>
      <c r="T325" s="64"/>
      <c r="U325" s="67"/>
      <c r="V325" s="74"/>
      <c r="W325" s="6"/>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c r="P326" s="218"/>
      <c r="Q326" s="60"/>
      <c r="R326" s="52"/>
      <c r="S326" s="66"/>
      <c r="T326" s="65"/>
      <c r="U326" s="68"/>
      <c r="V326" s="59"/>
      <c r="W326" s="6"/>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c r="P327" s="218"/>
      <c r="Q327" s="59"/>
      <c r="R327" s="51"/>
      <c r="S327" s="65"/>
      <c r="T327" s="64"/>
      <c r="U327" s="67"/>
      <c r="V327" s="74"/>
      <c r="W327" s="6"/>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c r="P328" s="218"/>
      <c r="Q328" s="60"/>
      <c r="R328" s="52"/>
      <c r="S328" s="66"/>
      <c r="T328" s="65"/>
      <c r="U328" s="68"/>
      <c r="V328" s="59"/>
      <c r="W328" s="6"/>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c r="P329" s="218"/>
      <c r="Q329" s="59"/>
      <c r="R329" s="51"/>
      <c r="S329" s="65"/>
      <c r="T329" s="64"/>
      <c r="U329" s="67"/>
      <c r="V329" s="74"/>
      <c r="W329" s="6"/>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c r="P330" s="218"/>
      <c r="Q330" s="60"/>
      <c r="R330" s="52"/>
      <c r="S330" s="66"/>
      <c r="T330" s="65"/>
      <c r="U330" s="68"/>
      <c r="V330" s="75"/>
      <c r="W330" s="6"/>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c r="P331" s="218"/>
      <c r="Q331" s="59"/>
      <c r="R331" s="51"/>
      <c r="S331" s="65"/>
      <c r="T331" s="64"/>
      <c r="U331" s="67"/>
      <c r="V331" s="74"/>
      <c r="W331" s="6"/>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c r="P332" s="218"/>
      <c r="Q332" s="60"/>
      <c r="R332" s="52"/>
      <c r="S332" s="66"/>
      <c r="T332" s="65"/>
      <c r="U332" s="68"/>
      <c r="V332" s="59"/>
      <c r="W332" s="6"/>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c r="P333" s="218"/>
      <c r="Q333" s="59"/>
      <c r="R333" s="51"/>
      <c r="S333" s="65"/>
      <c r="T333" s="64"/>
      <c r="U333" s="67"/>
      <c r="V333" s="74"/>
      <c r="W333" s="6"/>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c r="P334" s="218"/>
      <c r="Q334" s="60"/>
      <c r="R334" s="52"/>
      <c r="S334" s="66"/>
      <c r="T334" s="65"/>
      <c r="U334" s="68"/>
      <c r="V334" s="59"/>
      <c r="W334" s="6"/>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c r="P335" s="218"/>
      <c r="Q335" s="59"/>
      <c r="R335" s="51"/>
      <c r="S335" s="65"/>
      <c r="T335" s="64"/>
      <c r="U335" s="67"/>
      <c r="V335" s="74"/>
      <c r="W335" s="6"/>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c r="P336" s="218"/>
      <c r="Q336" s="60"/>
      <c r="R336" s="52"/>
      <c r="S336" s="66"/>
      <c r="T336" s="65"/>
      <c r="U336" s="68"/>
      <c r="V336" s="59"/>
      <c r="W336" s="6"/>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c r="P337" s="218"/>
      <c r="Q337" s="59"/>
      <c r="R337" s="51"/>
      <c r="S337" s="65"/>
      <c r="T337" s="64"/>
      <c r="U337" s="67"/>
      <c r="V337" s="74"/>
      <c r="W337" s="6"/>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c r="P338" s="218"/>
      <c r="Q338" s="60"/>
      <c r="R338" s="52"/>
      <c r="S338" s="66"/>
      <c r="T338" s="65"/>
      <c r="U338" s="68"/>
      <c r="V338" s="59"/>
      <c r="W338" s="6"/>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c r="P339" s="218"/>
      <c r="Q339" s="59"/>
      <c r="R339" s="51"/>
      <c r="S339" s="65"/>
      <c r="T339" s="64"/>
      <c r="U339" s="67"/>
      <c r="V339" s="74"/>
      <c r="W339" s="6"/>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c r="P340" s="218"/>
      <c r="Q340" s="60"/>
      <c r="R340" s="52"/>
      <c r="S340" s="66"/>
      <c r="T340" s="65"/>
      <c r="U340" s="68"/>
      <c r="V340" s="75"/>
      <c r="W340" s="6"/>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c r="P341" s="218"/>
      <c r="Q341" s="59"/>
      <c r="R341" s="51"/>
      <c r="S341" s="65"/>
      <c r="T341" s="64"/>
      <c r="U341" s="67"/>
      <c r="V341" s="74"/>
      <c r="W341" s="6"/>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c r="P342" s="218"/>
      <c r="Q342" s="60"/>
      <c r="R342" s="52"/>
      <c r="S342" s="66"/>
      <c r="T342" s="65"/>
      <c r="U342" s="68"/>
      <c r="V342" s="59"/>
      <c r="W342" s="6"/>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c r="P343" s="218"/>
      <c r="Q343" s="59"/>
      <c r="R343" s="51"/>
      <c r="S343" s="65"/>
      <c r="T343" s="64"/>
      <c r="U343" s="67"/>
      <c r="V343" s="74"/>
      <c r="W343" s="6"/>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c r="P344" s="218"/>
      <c r="Q344" s="60"/>
      <c r="R344" s="52"/>
      <c r="S344" s="66"/>
      <c r="T344" s="65"/>
      <c r="U344" s="68"/>
      <c r="V344" s="59"/>
      <c r="W344" s="6"/>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c r="P345" s="218"/>
      <c r="Q345" s="59"/>
      <c r="R345" s="51"/>
      <c r="S345" s="65"/>
      <c r="T345" s="64"/>
      <c r="U345" s="67"/>
      <c r="V345" s="74"/>
      <c r="W345" s="6"/>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c r="P346" s="218"/>
      <c r="Q346" s="60"/>
      <c r="R346" s="52"/>
      <c r="S346" s="66"/>
      <c r="T346" s="65"/>
      <c r="U346" s="68"/>
      <c r="V346" s="59"/>
      <c r="W346" s="6"/>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c r="P347" s="218"/>
      <c r="Q347" s="59"/>
      <c r="R347" s="51"/>
      <c r="S347" s="65"/>
      <c r="T347" s="64"/>
      <c r="U347" s="67"/>
      <c r="V347" s="74"/>
      <c r="W347" s="6"/>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c r="P348" s="218"/>
      <c r="Q348" s="60"/>
      <c r="R348" s="52"/>
      <c r="S348" s="66"/>
      <c r="T348" s="65"/>
      <c r="U348" s="68"/>
      <c r="V348" s="59"/>
      <c r="W348" s="6"/>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c r="P349" s="218"/>
      <c r="Q349" s="59"/>
      <c r="R349" s="51"/>
      <c r="S349" s="65"/>
      <c r="T349" s="64"/>
      <c r="U349" s="67"/>
      <c r="V349" s="74"/>
      <c r="W349" s="6"/>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c r="P350" s="218"/>
      <c r="Q350" s="60"/>
      <c r="R350" s="52"/>
      <c r="S350" s="66"/>
      <c r="T350" s="65"/>
      <c r="U350" s="68"/>
      <c r="V350" s="75"/>
      <c r="W350" s="6"/>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c r="P351" s="218"/>
      <c r="Q351" s="59"/>
      <c r="R351" s="51"/>
      <c r="S351" s="65"/>
      <c r="T351" s="64"/>
      <c r="U351" s="67"/>
      <c r="V351" s="74"/>
      <c r="W351" s="6"/>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c r="P352" s="218"/>
      <c r="Q352" s="60"/>
      <c r="R352" s="52"/>
      <c r="S352" s="66"/>
      <c r="T352" s="65"/>
      <c r="U352" s="68"/>
      <c r="V352" s="59"/>
      <c r="W352" s="6"/>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c r="P353" s="218"/>
      <c r="Q353" s="59"/>
      <c r="R353" s="51"/>
      <c r="S353" s="65"/>
      <c r="T353" s="64"/>
      <c r="U353" s="67"/>
      <c r="V353" s="74"/>
      <c r="W353" s="6"/>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c r="P354" s="218"/>
      <c r="Q354" s="60"/>
      <c r="R354" s="52"/>
      <c r="S354" s="66"/>
      <c r="T354" s="65"/>
      <c r="U354" s="68"/>
      <c r="V354" s="59"/>
      <c r="W354" s="6"/>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c r="P355" s="218"/>
      <c r="Q355" s="59"/>
      <c r="R355" s="51"/>
      <c r="S355" s="65"/>
      <c r="T355" s="64"/>
      <c r="U355" s="67"/>
      <c r="V355" s="74"/>
      <c r="W355" s="6"/>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c r="P356" s="218"/>
      <c r="Q356" s="60"/>
      <c r="R356" s="52"/>
      <c r="S356" s="66"/>
      <c r="T356" s="65"/>
      <c r="U356" s="68"/>
      <c r="V356" s="59"/>
      <c r="W356" s="6"/>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c r="P357" s="218"/>
      <c r="Q357" s="59"/>
      <c r="R357" s="51"/>
      <c r="S357" s="65"/>
      <c r="T357" s="64"/>
      <c r="U357" s="67"/>
      <c r="V357" s="74"/>
      <c r="W357" s="6"/>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c r="P358" s="218"/>
      <c r="Q358" s="60"/>
      <c r="R358" s="52"/>
      <c r="S358" s="66"/>
      <c r="T358" s="65"/>
      <c r="U358" s="68"/>
      <c r="V358" s="59"/>
      <c r="W358" s="6"/>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c r="P359" s="218"/>
      <c r="Q359" s="59"/>
      <c r="R359" s="51"/>
      <c r="S359" s="65"/>
      <c r="T359" s="64"/>
      <c r="U359" s="67"/>
      <c r="V359" s="74"/>
      <c r="W359" s="6"/>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c r="P360" s="218"/>
      <c r="Q360" s="60"/>
      <c r="R360" s="52"/>
      <c r="S360" s="66"/>
      <c r="T360" s="65"/>
      <c r="U360" s="68"/>
      <c r="V360" s="75"/>
      <c r="W360" s="6"/>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c r="P361" s="218"/>
      <c r="Q361" s="59"/>
      <c r="R361" s="51"/>
      <c r="S361" s="65"/>
      <c r="T361" s="64"/>
      <c r="U361" s="67"/>
      <c r="V361" s="74"/>
      <c r="W361" s="6"/>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c r="P362" s="218"/>
      <c r="Q362" s="60"/>
      <c r="R362" s="52"/>
      <c r="S362" s="66"/>
      <c r="T362" s="65"/>
      <c r="U362" s="68"/>
      <c r="V362" s="59"/>
      <c r="W362" s="6"/>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c r="P363" s="218"/>
      <c r="Q363" s="59"/>
      <c r="R363" s="51"/>
      <c r="S363" s="65"/>
      <c r="T363" s="64"/>
      <c r="U363" s="67"/>
      <c r="V363" s="74"/>
      <c r="W363" s="6"/>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c r="P364" s="218"/>
      <c r="Q364" s="60"/>
      <c r="R364" s="52"/>
      <c r="S364" s="66"/>
      <c r="T364" s="65"/>
      <c r="U364" s="68"/>
      <c r="V364" s="59"/>
      <c r="W364" s="6"/>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c r="P365" s="218"/>
      <c r="Q365" s="59"/>
      <c r="R365" s="51"/>
      <c r="S365" s="65"/>
      <c r="T365" s="64"/>
      <c r="U365" s="67"/>
      <c r="V365" s="74"/>
      <c r="W365" s="6"/>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c r="P366" s="218"/>
      <c r="Q366" s="60"/>
      <c r="R366" s="52"/>
      <c r="S366" s="66"/>
      <c r="T366" s="65"/>
      <c r="U366" s="68"/>
      <c r="V366" s="59"/>
      <c r="W366" s="6"/>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c r="P367" s="218"/>
      <c r="Q367" s="59"/>
      <c r="R367" s="51"/>
      <c r="S367" s="65"/>
      <c r="T367" s="64"/>
      <c r="U367" s="67"/>
      <c r="V367" s="74"/>
      <c r="W367" s="6"/>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c r="P368" s="218"/>
      <c r="Q368" s="60"/>
      <c r="R368" s="52"/>
      <c r="S368" s="66"/>
      <c r="T368" s="65"/>
      <c r="U368" s="68"/>
      <c r="V368" s="59"/>
      <c r="W368" s="6"/>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c r="P369" s="218"/>
      <c r="Q369" s="59"/>
      <c r="R369" s="51"/>
      <c r="S369" s="65"/>
      <c r="T369" s="64"/>
      <c r="U369" s="67"/>
      <c r="V369" s="74"/>
      <c r="W369" s="6"/>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c r="P370" s="218"/>
      <c r="Q370" s="60"/>
      <c r="R370" s="52"/>
      <c r="S370" s="66"/>
      <c r="T370" s="65"/>
      <c r="U370" s="68"/>
      <c r="V370" s="75"/>
      <c r="W370" s="6"/>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c r="P371" s="218"/>
      <c r="Q371" s="59"/>
      <c r="R371" s="51"/>
      <c r="S371" s="65"/>
      <c r="T371" s="64"/>
      <c r="U371" s="67"/>
      <c r="V371" s="74"/>
      <c r="W371" s="6"/>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c r="P372" s="218"/>
      <c r="Q372" s="60"/>
      <c r="R372" s="52"/>
      <c r="S372" s="66"/>
      <c r="T372" s="65"/>
      <c r="U372" s="68"/>
      <c r="V372" s="59"/>
      <c r="W372" s="6"/>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c r="P373" s="218"/>
      <c r="Q373" s="59"/>
      <c r="R373" s="51"/>
      <c r="S373" s="65"/>
      <c r="T373" s="64"/>
      <c r="U373" s="67"/>
      <c r="V373" s="74"/>
      <c r="W373" s="6"/>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c r="P374" s="218"/>
      <c r="Q374" s="60"/>
      <c r="R374" s="52"/>
      <c r="S374" s="66"/>
      <c r="T374" s="65"/>
      <c r="U374" s="68"/>
      <c r="V374" s="59"/>
      <c r="W374" s="6"/>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c r="P375" s="218"/>
      <c r="Q375" s="59"/>
      <c r="R375" s="51"/>
      <c r="S375" s="65"/>
      <c r="T375" s="64"/>
      <c r="U375" s="67"/>
      <c r="V375" s="74"/>
      <c r="W375" s="6"/>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c r="P376" s="218"/>
      <c r="Q376" s="60"/>
      <c r="R376" s="52"/>
      <c r="S376" s="66"/>
      <c r="T376" s="65"/>
      <c r="U376" s="68"/>
      <c r="V376" s="59"/>
      <c r="W376" s="6"/>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c r="P377" s="218"/>
      <c r="Q377" s="59"/>
      <c r="R377" s="51"/>
      <c r="S377" s="65"/>
      <c r="T377" s="64"/>
      <c r="U377" s="67"/>
      <c r="V377" s="74"/>
      <c r="W377" s="6"/>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c r="P378" s="218"/>
      <c r="Q378" s="60"/>
      <c r="R378" s="52"/>
      <c r="S378" s="66"/>
      <c r="T378" s="65"/>
      <c r="U378" s="68"/>
      <c r="V378" s="59"/>
      <c r="W378" s="6"/>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c r="P379" s="218"/>
      <c r="Q379" s="59"/>
      <c r="R379" s="51"/>
      <c r="S379" s="65"/>
      <c r="T379" s="64"/>
      <c r="U379" s="67"/>
      <c r="V379" s="74"/>
      <c r="W379" s="6"/>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c r="P380" s="218"/>
      <c r="Q380" s="60"/>
      <c r="R380" s="52"/>
      <c r="S380" s="66"/>
      <c r="T380" s="65"/>
      <c r="U380" s="68"/>
      <c r="V380" s="75"/>
      <c r="W380" s="6"/>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c r="P381" s="218"/>
      <c r="Q381" s="59"/>
      <c r="R381" s="51"/>
      <c r="S381" s="65"/>
      <c r="T381" s="64"/>
      <c r="U381" s="67"/>
      <c r="V381" s="74"/>
      <c r="W381" s="6"/>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c r="P382" s="218"/>
      <c r="Q382" s="60"/>
      <c r="R382" s="52"/>
      <c r="S382" s="66"/>
      <c r="T382" s="65"/>
      <c r="U382" s="68"/>
      <c r="V382" s="59"/>
      <c r="W382" s="6"/>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c r="P383" s="218"/>
      <c r="Q383" s="59"/>
      <c r="R383" s="51"/>
      <c r="S383" s="65"/>
      <c r="T383" s="64"/>
      <c r="U383" s="67"/>
      <c r="V383" s="74"/>
      <c r="W383" s="6"/>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c r="P384" s="218"/>
      <c r="Q384" s="60"/>
      <c r="R384" s="52"/>
      <c r="S384" s="66"/>
      <c r="T384" s="65"/>
      <c r="U384" s="68"/>
      <c r="V384" s="59"/>
      <c r="W384" s="6"/>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c r="P385" s="218"/>
      <c r="Q385" s="59"/>
      <c r="R385" s="51"/>
      <c r="S385" s="65"/>
      <c r="T385" s="64"/>
      <c r="U385" s="67"/>
      <c r="V385" s="74"/>
      <c r="W385" s="6"/>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c r="P386" s="218"/>
      <c r="Q386" s="60"/>
      <c r="R386" s="52"/>
      <c r="S386" s="66"/>
      <c r="T386" s="65"/>
      <c r="U386" s="68"/>
      <c r="V386" s="59"/>
      <c r="W386" s="6"/>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c r="P387" s="218"/>
      <c r="Q387" s="59"/>
      <c r="R387" s="51"/>
      <c r="S387" s="65"/>
      <c r="T387" s="64"/>
      <c r="U387" s="67"/>
      <c r="V387" s="74"/>
      <c r="W387" s="6"/>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c r="P388" s="218"/>
      <c r="Q388" s="60"/>
      <c r="R388" s="52"/>
      <c r="S388" s="66"/>
      <c r="T388" s="65"/>
      <c r="U388" s="68"/>
      <c r="V388" s="59"/>
      <c r="W388" s="6"/>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c r="P389" s="218"/>
      <c r="Q389" s="59"/>
      <c r="R389" s="51"/>
      <c r="S389" s="65"/>
      <c r="T389" s="64"/>
      <c r="U389" s="67"/>
      <c r="V389" s="74"/>
      <c r="W389" s="6"/>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c r="P390" s="218"/>
      <c r="Q390" s="60"/>
      <c r="R390" s="52"/>
      <c r="S390" s="66"/>
      <c r="T390" s="65"/>
      <c r="U390" s="68"/>
      <c r="V390" s="75"/>
      <c r="W390" s="6"/>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c r="P391" s="218"/>
      <c r="Q391" s="59"/>
      <c r="R391" s="51"/>
      <c r="S391" s="65"/>
      <c r="T391" s="64"/>
      <c r="U391" s="67"/>
      <c r="V391" s="74"/>
      <c r="W391" s="6"/>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c r="P392" s="218"/>
      <c r="Q392" s="60"/>
      <c r="R392" s="52"/>
      <c r="S392" s="66"/>
      <c r="T392" s="65"/>
      <c r="U392" s="68"/>
      <c r="V392" s="59"/>
      <c r="W392" s="6"/>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c r="P393" s="218"/>
      <c r="Q393" s="59"/>
      <c r="R393" s="51"/>
      <c r="S393" s="65"/>
      <c r="T393" s="64"/>
      <c r="U393" s="67"/>
      <c r="V393" s="74"/>
      <c r="W393" s="6"/>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c r="P394" s="218"/>
      <c r="Q394" s="60"/>
      <c r="R394" s="52"/>
      <c r="S394" s="66"/>
      <c r="T394" s="65"/>
      <c r="U394" s="68"/>
      <c r="V394" s="59"/>
      <c r="W394" s="6"/>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c r="P395" s="218"/>
      <c r="Q395" s="59"/>
      <c r="R395" s="51"/>
      <c r="S395" s="65"/>
      <c r="T395" s="64"/>
      <c r="U395" s="67"/>
      <c r="V395" s="74"/>
      <c r="W395" s="6"/>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c r="P396" s="218"/>
      <c r="Q396" s="60"/>
      <c r="R396" s="52"/>
      <c r="S396" s="66"/>
      <c r="T396" s="65"/>
      <c r="U396" s="68"/>
      <c r="V396" s="59"/>
      <c r="W396" s="6"/>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c r="P397" s="218"/>
      <c r="Q397" s="59"/>
      <c r="R397" s="51"/>
      <c r="S397" s="65"/>
      <c r="T397" s="64"/>
      <c r="U397" s="67"/>
      <c r="V397" s="74"/>
      <c r="W397" s="6"/>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c r="P398" s="218"/>
      <c r="Q398" s="60"/>
      <c r="R398" s="52"/>
      <c r="S398" s="66"/>
      <c r="T398" s="65"/>
      <c r="U398" s="68"/>
      <c r="V398" s="59"/>
      <c r="W398" s="6"/>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c r="P399" s="218"/>
      <c r="Q399" s="59"/>
      <c r="R399" s="51"/>
      <c r="S399" s="65"/>
      <c r="T399" s="64"/>
      <c r="U399" s="67"/>
      <c r="V399" s="74"/>
      <c r="W399" s="6"/>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c r="P400" s="218"/>
      <c r="Q400" s="60"/>
      <c r="R400" s="52"/>
      <c r="S400" s="66"/>
      <c r="T400" s="65"/>
      <c r="U400" s="68"/>
      <c r="V400" s="75"/>
      <c r="W400" s="6"/>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c r="P401" s="218"/>
      <c r="Q401" s="59"/>
      <c r="R401" s="51"/>
      <c r="S401" s="65"/>
      <c r="T401" s="64"/>
      <c r="U401" s="67"/>
      <c r="V401" s="74"/>
      <c r="W401" s="6"/>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c r="P402" s="218"/>
      <c r="Q402" s="60"/>
      <c r="R402" s="52"/>
      <c r="S402" s="66"/>
      <c r="T402" s="65"/>
      <c r="U402" s="68"/>
      <c r="V402" s="59"/>
      <c r="W402" s="6"/>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c r="P403" s="218"/>
      <c r="Q403" s="59"/>
      <c r="R403" s="51"/>
      <c r="S403" s="65"/>
      <c r="T403" s="64"/>
      <c r="U403" s="67"/>
      <c r="V403" s="74"/>
      <c r="W403" s="6"/>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c r="P404" s="218"/>
      <c r="Q404" s="60"/>
      <c r="R404" s="52"/>
      <c r="S404" s="66"/>
      <c r="T404" s="65"/>
      <c r="U404" s="68"/>
      <c r="V404" s="59"/>
      <c r="W404" s="6"/>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c r="P405" s="218"/>
      <c r="Q405" s="59"/>
      <c r="R405" s="51"/>
      <c r="S405" s="65"/>
      <c r="T405" s="64"/>
      <c r="U405" s="67"/>
      <c r="V405" s="74"/>
      <c r="W405" s="6"/>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c r="P406" s="218"/>
      <c r="Q406" s="60"/>
      <c r="R406" s="52"/>
      <c r="S406" s="66"/>
      <c r="T406" s="65"/>
      <c r="U406" s="68"/>
      <c r="V406" s="59"/>
      <c r="W406" s="6"/>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c r="P407" s="218"/>
      <c r="Q407" s="59"/>
      <c r="R407" s="51"/>
      <c r="S407" s="65"/>
      <c r="T407" s="64"/>
      <c r="U407" s="67"/>
      <c r="V407" s="74"/>
      <c r="W407" s="6"/>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c r="P408" s="218"/>
      <c r="Q408" s="60"/>
      <c r="R408" s="52"/>
      <c r="S408" s="66"/>
      <c r="T408" s="65"/>
      <c r="U408" s="68"/>
      <c r="V408" s="59"/>
      <c r="W408" s="6"/>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c r="P409" s="218"/>
      <c r="Q409" s="59"/>
      <c r="R409" s="51"/>
      <c r="S409" s="65"/>
      <c r="T409" s="64"/>
      <c r="U409" s="67"/>
      <c r="V409" s="74"/>
      <c r="W409" s="6"/>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c r="P410" s="218"/>
      <c r="Q410" s="60"/>
      <c r="R410" s="52"/>
      <c r="S410" s="66"/>
      <c r="T410" s="65"/>
      <c r="U410" s="68"/>
      <c r="V410" s="75"/>
      <c r="W410" s="6"/>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c r="P411" s="218"/>
      <c r="Q411" s="59"/>
      <c r="R411" s="51"/>
      <c r="S411" s="65"/>
      <c r="T411" s="64"/>
      <c r="U411" s="67"/>
      <c r="V411" s="74"/>
      <c r="W411" s="6"/>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c r="P412" s="218"/>
      <c r="Q412" s="60"/>
      <c r="R412" s="52"/>
      <c r="S412" s="66"/>
      <c r="T412" s="65"/>
      <c r="U412" s="68"/>
      <c r="V412" s="59"/>
      <c r="W412" s="6"/>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c r="P413" s="218"/>
      <c r="Q413" s="59"/>
      <c r="R413" s="51"/>
      <c r="S413" s="65"/>
      <c r="T413" s="64"/>
      <c r="U413" s="67"/>
      <c r="V413" s="74"/>
      <c r="W413" s="6"/>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c r="P414" s="218"/>
      <c r="Q414" s="60"/>
      <c r="R414" s="52"/>
      <c r="S414" s="66"/>
      <c r="T414" s="65"/>
      <c r="U414" s="68"/>
      <c r="V414" s="59"/>
      <c r="W414" s="6"/>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c r="P415" s="218"/>
      <c r="Q415" s="59"/>
      <c r="R415" s="51"/>
      <c r="S415" s="65"/>
      <c r="T415" s="64"/>
      <c r="U415" s="67"/>
      <c r="V415" s="74"/>
      <c r="W415" s="6"/>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c r="P416" s="218"/>
      <c r="Q416" s="60"/>
      <c r="R416" s="52"/>
      <c r="S416" s="66"/>
      <c r="T416" s="65"/>
      <c r="U416" s="68"/>
      <c r="V416" s="59"/>
      <c r="W416" s="6"/>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c r="P417" s="218"/>
      <c r="Q417" s="59"/>
      <c r="R417" s="51"/>
      <c r="S417" s="65"/>
      <c r="T417" s="64"/>
      <c r="U417" s="67"/>
      <c r="V417" s="74"/>
      <c r="W417" s="6"/>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c r="P418" s="218"/>
      <c r="Q418" s="60"/>
      <c r="R418" s="52"/>
      <c r="S418" s="66"/>
      <c r="T418" s="65"/>
      <c r="U418" s="68"/>
      <c r="V418" s="59"/>
      <c r="W418" s="6"/>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c r="P419" s="218"/>
      <c r="Q419" s="59"/>
      <c r="R419" s="51"/>
      <c r="S419" s="65"/>
      <c r="T419" s="64"/>
      <c r="U419" s="67"/>
      <c r="V419" s="74"/>
      <c r="W419" s="6"/>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c r="P420" s="218"/>
      <c r="Q420" s="60"/>
      <c r="R420" s="52"/>
      <c r="S420" s="66"/>
      <c r="T420" s="65"/>
      <c r="U420" s="68"/>
      <c r="V420" s="75"/>
      <c r="W420" s="6"/>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c r="P421" s="218"/>
      <c r="Q421" s="59"/>
      <c r="R421" s="51"/>
      <c r="S421" s="65"/>
      <c r="T421" s="64"/>
      <c r="U421" s="67"/>
      <c r="V421" s="74"/>
      <c r="W421" s="6"/>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c r="P422" s="218"/>
      <c r="Q422" s="60"/>
      <c r="R422" s="52"/>
      <c r="S422" s="66"/>
      <c r="T422" s="65"/>
      <c r="U422" s="68"/>
      <c r="V422" s="59"/>
      <c r="W422" s="6"/>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c r="P423" s="218"/>
      <c r="Q423" s="59"/>
      <c r="R423" s="51"/>
      <c r="S423" s="65"/>
      <c r="T423" s="64"/>
      <c r="U423" s="67"/>
      <c r="V423" s="74"/>
      <c r="W423" s="6"/>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c r="P424" s="218"/>
      <c r="Q424" s="60"/>
      <c r="R424" s="52"/>
      <c r="S424" s="66"/>
      <c r="T424" s="65"/>
      <c r="U424" s="68"/>
      <c r="V424" s="59"/>
      <c r="W424" s="6"/>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c r="P425" s="218"/>
      <c r="Q425" s="59"/>
      <c r="R425" s="51"/>
      <c r="S425" s="65"/>
      <c r="T425" s="64"/>
      <c r="U425" s="67"/>
      <c r="V425" s="74"/>
      <c r="W425" s="6"/>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c r="P426" s="218"/>
      <c r="Q426" s="60"/>
      <c r="R426" s="52"/>
      <c r="S426" s="66"/>
      <c r="T426" s="65"/>
      <c r="U426" s="68"/>
      <c r="V426" s="59"/>
      <c r="W426" s="6"/>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c r="P427" s="218"/>
      <c r="Q427" s="59"/>
      <c r="R427" s="51"/>
      <c r="S427" s="65"/>
      <c r="T427" s="64"/>
      <c r="U427" s="67"/>
      <c r="V427" s="74"/>
      <c r="W427" s="6"/>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c r="P428" s="218"/>
      <c r="Q428" s="60"/>
      <c r="R428" s="52"/>
      <c r="S428" s="66"/>
      <c r="T428" s="65"/>
      <c r="U428" s="68"/>
      <c r="V428" s="59"/>
      <c r="W428" s="6"/>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c r="P429" s="218"/>
      <c r="Q429" s="59"/>
      <c r="R429" s="51"/>
      <c r="S429" s="65"/>
      <c r="T429" s="64"/>
      <c r="U429" s="67"/>
      <c r="V429" s="74"/>
      <c r="W429" s="6"/>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c r="P430" s="218"/>
      <c r="Q430" s="60"/>
      <c r="R430" s="52"/>
      <c r="S430" s="66"/>
      <c r="T430" s="65"/>
      <c r="U430" s="68"/>
      <c r="V430" s="75"/>
      <c r="W430" s="6"/>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c r="P431" s="218"/>
      <c r="Q431" s="59"/>
      <c r="R431" s="51"/>
      <c r="S431" s="65"/>
      <c r="T431" s="64"/>
      <c r="U431" s="67"/>
      <c r="V431" s="74"/>
      <c r="W431" s="6"/>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c r="P432" s="218"/>
      <c r="Q432" s="60"/>
      <c r="R432" s="52"/>
      <c r="S432" s="66"/>
      <c r="T432" s="65"/>
      <c r="U432" s="68"/>
      <c r="V432" s="59"/>
      <c r="W432" s="6"/>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c r="P433" s="218"/>
      <c r="Q433" s="59"/>
      <c r="R433" s="51"/>
      <c r="S433" s="65"/>
      <c r="T433" s="64"/>
      <c r="U433" s="67"/>
      <c r="V433" s="74"/>
      <c r="W433" s="6"/>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c r="P434" s="218"/>
      <c r="Q434" s="60"/>
      <c r="R434" s="52"/>
      <c r="S434" s="66"/>
      <c r="T434" s="65"/>
      <c r="U434" s="68"/>
      <c r="V434" s="59"/>
      <c r="W434" s="6"/>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c r="P435" s="218"/>
      <c r="Q435" s="59"/>
      <c r="R435" s="51"/>
      <c r="S435" s="65"/>
      <c r="T435" s="64"/>
      <c r="U435" s="67"/>
      <c r="V435" s="74"/>
      <c r="W435" s="6"/>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c r="P436" s="218"/>
      <c r="Q436" s="60"/>
      <c r="R436" s="52"/>
      <c r="S436" s="66"/>
      <c r="T436" s="65"/>
      <c r="U436" s="68"/>
      <c r="V436" s="59"/>
      <c r="W436" s="6"/>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c r="P437" s="218"/>
      <c r="Q437" s="59"/>
      <c r="R437" s="51"/>
      <c r="S437" s="65"/>
      <c r="T437" s="64"/>
      <c r="U437" s="67"/>
      <c r="V437" s="74"/>
      <c r="W437" s="6"/>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c r="P438" s="218"/>
      <c r="Q438" s="60"/>
      <c r="R438" s="52"/>
      <c r="S438" s="66"/>
      <c r="T438" s="65"/>
      <c r="U438" s="68"/>
      <c r="V438" s="59"/>
      <c r="W438" s="6"/>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c r="P439" s="218"/>
      <c r="Q439" s="59"/>
      <c r="R439" s="51"/>
      <c r="S439" s="65"/>
      <c r="T439" s="64"/>
      <c r="U439" s="67"/>
      <c r="V439" s="74"/>
      <c r="W439" s="6"/>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c r="P440" s="218"/>
      <c r="Q440" s="60"/>
      <c r="R440" s="52"/>
      <c r="S440" s="66"/>
      <c r="T440" s="65"/>
      <c r="U440" s="68"/>
      <c r="V440" s="75"/>
      <c r="W440" s="6"/>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c r="P441" s="218"/>
      <c r="Q441" s="59"/>
      <c r="R441" s="51"/>
      <c r="S441" s="65"/>
      <c r="T441" s="64"/>
      <c r="U441" s="67"/>
      <c r="V441" s="74"/>
      <c r="W441" s="6"/>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c r="P442" s="218"/>
      <c r="Q442" s="60"/>
      <c r="R442" s="52"/>
      <c r="S442" s="66"/>
      <c r="T442" s="65"/>
      <c r="U442" s="68"/>
      <c r="V442" s="59"/>
      <c r="W442" s="6"/>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c r="P443" s="218"/>
      <c r="Q443" s="59"/>
      <c r="R443" s="51"/>
      <c r="S443" s="65"/>
      <c r="T443" s="64"/>
      <c r="U443" s="67"/>
      <c r="V443" s="74"/>
      <c r="W443" s="6"/>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c r="P444" s="218"/>
      <c r="Q444" s="60"/>
      <c r="R444" s="52"/>
      <c r="S444" s="66"/>
      <c r="T444" s="65"/>
      <c r="U444" s="68"/>
      <c r="V444" s="59"/>
      <c r="W444" s="6"/>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c r="P445" s="218"/>
      <c r="Q445" s="59"/>
      <c r="R445" s="51"/>
      <c r="S445" s="65"/>
      <c r="T445" s="64"/>
      <c r="U445" s="67"/>
      <c r="V445" s="74"/>
      <c r="W445" s="6"/>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c r="P446" s="218"/>
      <c r="Q446" s="60"/>
      <c r="R446" s="52"/>
      <c r="S446" s="66"/>
      <c r="T446" s="65"/>
      <c r="U446" s="68"/>
      <c r="V446" s="59"/>
      <c r="W446" s="6"/>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c r="P447" s="218"/>
      <c r="Q447" s="59"/>
      <c r="R447" s="51"/>
      <c r="S447" s="65"/>
      <c r="T447" s="64"/>
      <c r="U447" s="67"/>
      <c r="V447" s="74"/>
      <c r="W447" s="6"/>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c r="P448" s="218"/>
      <c r="Q448" s="60"/>
      <c r="R448" s="52"/>
      <c r="S448" s="66"/>
      <c r="T448" s="65"/>
      <c r="U448" s="68"/>
      <c r="V448" s="59"/>
      <c r="W448" s="6"/>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c r="P449" s="218"/>
      <c r="Q449" s="59"/>
      <c r="R449" s="51"/>
      <c r="S449" s="65"/>
      <c r="T449" s="64"/>
      <c r="U449" s="67"/>
      <c r="V449" s="74"/>
      <c r="W449" s="6"/>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c r="P450" s="218"/>
      <c r="Q450" s="60"/>
      <c r="R450" s="52"/>
      <c r="S450" s="66"/>
      <c r="T450" s="65"/>
      <c r="U450" s="68"/>
      <c r="V450" s="75"/>
      <c r="W450" s="6"/>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c r="P451" s="218"/>
      <c r="Q451" s="59"/>
      <c r="R451" s="51"/>
      <c r="S451" s="65"/>
      <c r="T451" s="64"/>
      <c r="U451" s="67"/>
      <c r="V451" s="74"/>
      <c r="W451" s="6"/>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c r="P452" s="218"/>
      <c r="Q452" s="60"/>
      <c r="R452" s="52"/>
      <c r="S452" s="66"/>
      <c r="T452" s="65"/>
      <c r="U452" s="68"/>
      <c r="V452" s="59"/>
      <c r="W452" s="6"/>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c r="P453" s="218"/>
      <c r="Q453" s="59"/>
      <c r="R453" s="51"/>
      <c r="S453" s="65"/>
      <c r="T453" s="64"/>
      <c r="U453" s="67"/>
      <c r="V453" s="74"/>
      <c r="W453" s="6"/>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c r="P454" s="218"/>
      <c r="Q454" s="60"/>
      <c r="R454" s="52"/>
      <c r="S454" s="66"/>
      <c r="T454" s="65"/>
      <c r="U454" s="68"/>
      <c r="V454" s="59"/>
      <c r="W454" s="6"/>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c r="P455" s="218"/>
      <c r="Q455" s="59"/>
      <c r="R455" s="51"/>
      <c r="S455" s="65"/>
      <c r="T455" s="64"/>
      <c r="U455" s="67"/>
      <c r="V455" s="74"/>
      <c r="W455" s="6"/>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c r="P456" s="218"/>
      <c r="Q456" s="60"/>
      <c r="R456" s="52"/>
      <c r="S456" s="66"/>
      <c r="T456" s="65"/>
      <c r="U456" s="68"/>
      <c r="V456" s="59"/>
      <c r="W456" s="6"/>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c r="P457" s="218"/>
      <c r="Q457" s="59"/>
      <c r="R457" s="51"/>
      <c r="S457" s="65"/>
      <c r="T457" s="64"/>
      <c r="U457" s="67"/>
      <c r="V457" s="74"/>
      <c r="W457" s="6"/>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c r="P458" s="218"/>
      <c r="Q458" s="60"/>
      <c r="R458" s="52"/>
      <c r="S458" s="66"/>
      <c r="T458" s="65"/>
      <c r="U458" s="68"/>
      <c r="V458" s="59"/>
      <c r="W458" s="6"/>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c r="P459" s="218"/>
      <c r="Q459" s="59"/>
      <c r="R459" s="51"/>
      <c r="S459" s="65"/>
      <c r="T459" s="64"/>
      <c r="U459" s="67"/>
      <c r="V459" s="74"/>
      <c r="W459" s="6"/>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c r="P460" s="218"/>
      <c r="Q460" s="60"/>
      <c r="R460" s="52"/>
      <c r="S460" s="66"/>
      <c r="T460" s="65"/>
      <c r="U460" s="68"/>
      <c r="V460" s="75"/>
      <c r="W460" s="6"/>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c r="P461" s="218"/>
      <c r="Q461" s="59"/>
      <c r="R461" s="51"/>
      <c r="S461" s="65"/>
      <c r="T461" s="64"/>
      <c r="U461" s="67"/>
      <c r="V461" s="74"/>
      <c r="W461" s="6"/>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c r="P462" s="218"/>
      <c r="Q462" s="60"/>
      <c r="R462" s="52"/>
      <c r="S462" s="66"/>
      <c r="T462" s="65"/>
      <c r="U462" s="68"/>
      <c r="V462" s="59"/>
      <c r="W462" s="6"/>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c r="P463" s="218"/>
      <c r="Q463" s="59"/>
      <c r="R463" s="51"/>
      <c r="S463" s="65"/>
      <c r="T463" s="64"/>
      <c r="U463" s="67"/>
      <c r="V463" s="74"/>
      <c r="W463" s="6"/>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c r="P464" s="218"/>
      <c r="Q464" s="60"/>
      <c r="R464" s="52"/>
      <c r="S464" s="66"/>
      <c r="T464" s="65"/>
      <c r="U464" s="68"/>
      <c r="V464" s="59"/>
      <c r="W464" s="6"/>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c r="P465" s="218"/>
      <c r="Q465" s="59"/>
      <c r="R465" s="51"/>
      <c r="S465" s="65"/>
      <c r="T465" s="64"/>
      <c r="U465" s="67"/>
      <c r="V465" s="74"/>
      <c r="W465" s="6"/>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c r="P466" s="218"/>
      <c r="Q466" s="60"/>
      <c r="R466" s="52"/>
      <c r="S466" s="66"/>
      <c r="T466" s="65"/>
      <c r="U466" s="68"/>
      <c r="V466" s="59"/>
      <c r="W466" s="6"/>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c r="P467" s="218"/>
      <c r="Q467" s="59"/>
      <c r="R467" s="51"/>
      <c r="S467" s="65"/>
      <c r="T467" s="64"/>
      <c r="U467" s="67"/>
      <c r="V467" s="74"/>
      <c r="W467" s="6"/>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c r="P468" s="218"/>
      <c r="Q468" s="60"/>
      <c r="R468" s="52"/>
      <c r="S468" s="66"/>
      <c r="T468" s="65"/>
      <c r="U468" s="68"/>
      <c r="V468" s="59"/>
      <c r="W468" s="6"/>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c r="P469" s="218"/>
      <c r="Q469" s="59"/>
      <c r="R469" s="51"/>
      <c r="S469" s="65"/>
      <c r="T469" s="64"/>
      <c r="U469" s="67"/>
      <c r="V469" s="74"/>
      <c r="W469" s="6"/>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c r="P470" s="218"/>
      <c r="Q470" s="60"/>
      <c r="R470" s="52"/>
      <c r="S470" s="66"/>
      <c r="T470" s="65"/>
      <c r="U470" s="68"/>
      <c r="V470" s="75"/>
      <c r="W470" s="6"/>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c r="P471" s="218"/>
      <c r="Q471" s="59"/>
      <c r="R471" s="51"/>
      <c r="S471" s="65"/>
      <c r="T471" s="64"/>
      <c r="U471" s="67"/>
      <c r="V471" s="74"/>
      <c r="W471" s="6"/>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c r="P472" s="218"/>
      <c r="Q472" s="60"/>
      <c r="R472" s="52"/>
      <c r="S472" s="66"/>
      <c r="T472" s="65"/>
      <c r="U472" s="68"/>
      <c r="V472" s="59"/>
      <c r="W472" s="6"/>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c r="P473" s="218"/>
      <c r="Q473" s="59"/>
      <c r="R473" s="51"/>
      <c r="S473" s="65"/>
      <c r="T473" s="64"/>
      <c r="U473" s="67"/>
      <c r="V473" s="74"/>
      <c r="W473" s="6"/>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c r="P474" s="218"/>
      <c r="Q474" s="60"/>
      <c r="R474" s="52"/>
      <c r="S474" s="66"/>
      <c r="T474" s="65"/>
      <c r="U474" s="68"/>
      <c r="V474" s="59"/>
      <c r="W474" s="6"/>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c r="P475" s="218"/>
      <c r="Q475" s="59"/>
      <c r="R475" s="51"/>
      <c r="S475" s="65"/>
      <c r="T475" s="64"/>
      <c r="U475" s="67"/>
      <c r="V475" s="74"/>
      <c r="W475" s="6"/>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c r="P476" s="218"/>
      <c r="Q476" s="60"/>
      <c r="R476" s="52"/>
      <c r="S476" s="66"/>
      <c r="T476" s="65"/>
      <c r="U476" s="68"/>
      <c r="V476" s="59"/>
      <c r="W476" s="6"/>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c r="P477" s="218"/>
      <c r="Q477" s="59"/>
      <c r="R477" s="51"/>
      <c r="S477" s="65"/>
      <c r="T477" s="64"/>
      <c r="U477" s="67"/>
      <c r="V477" s="74"/>
      <c r="W477" s="6"/>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c r="P478" s="218"/>
      <c r="Q478" s="60"/>
      <c r="R478" s="52"/>
      <c r="S478" s="66"/>
      <c r="T478" s="65"/>
      <c r="U478" s="68"/>
      <c r="V478" s="59"/>
      <c r="W478" s="6"/>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c r="P479" s="218"/>
      <c r="Q479" s="59"/>
      <c r="R479" s="51"/>
      <c r="S479" s="65"/>
      <c r="T479" s="64"/>
      <c r="U479" s="67"/>
      <c r="V479" s="74"/>
      <c r="W479" s="6"/>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c r="P480" s="218"/>
      <c r="Q480" s="60"/>
      <c r="R480" s="52"/>
      <c r="S480" s="66"/>
      <c r="T480" s="65"/>
      <c r="U480" s="68"/>
      <c r="V480" s="75"/>
      <c r="W480" s="6"/>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c r="P481" s="218"/>
      <c r="Q481" s="59"/>
      <c r="R481" s="51"/>
      <c r="S481" s="65"/>
      <c r="T481" s="64"/>
      <c r="U481" s="67"/>
      <c r="V481" s="74"/>
      <c r="W481" s="6"/>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c r="P482" s="218"/>
      <c r="Q482" s="60"/>
      <c r="R482" s="52"/>
      <c r="S482" s="66"/>
      <c r="T482" s="65"/>
      <c r="U482" s="68"/>
      <c r="V482" s="59"/>
      <c r="W482" s="6"/>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c r="P483" s="218"/>
      <c r="Q483" s="59"/>
      <c r="R483" s="51"/>
      <c r="S483" s="65"/>
      <c r="T483" s="64"/>
      <c r="U483" s="67"/>
      <c r="V483" s="74"/>
      <c r="W483" s="6"/>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c r="P484" s="218"/>
      <c r="Q484" s="60"/>
      <c r="R484" s="52"/>
      <c r="S484" s="66"/>
      <c r="T484" s="65"/>
      <c r="U484" s="68"/>
      <c r="V484" s="59"/>
      <c r="W484" s="6"/>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c r="P485" s="218"/>
      <c r="Q485" s="59"/>
      <c r="R485" s="51"/>
      <c r="S485" s="65"/>
      <c r="T485" s="64"/>
      <c r="U485" s="67"/>
      <c r="V485" s="74"/>
      <c r="W485" s="6"/>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c r="P486" s="218"/>
      <c r="Q486" s="60"/>
      <c r="R486" s="52"/>
      <c r="S486" s="66"/>
      <c r="T486" s="65"/>
      <c r="U486" s="68"/>
      <c r="V486" s="59"/>
      <c r="W486" s="6"/>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c r="P487" s="218"/>
      <c r="Q487" s="59"/>
      <c r="R487" s="51"/>
      <c r="S487" s="65"/>
      <c r="T487" s="64"/>
      <c r="U487" s="67"/>
      <c r="V487" s="74"/>
      <c r="W487" s="6"/>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c r="P488" s="218"/>
      <c r="Q488" s="60"/>
      <c r="R488" s="52"/>
      <c r="S488" s="66"/>
      <c r="T488" s="65"/>
      <c r="U488" s="68"/>
      <c r="V488" s="59"/>
      <c r="W488" s="6"/>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c r="P489" s="218"/>
      <c r="Q489" s="59"/>
      <c r="R489" s="51"/>
      <c r="S489" s="65"/>
      <c r="T489" s="64"/>
      <c r="U489" s="67"/>
      <c r="V489" s="74"/>
      <c r="W489" s="6"/>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c r="P490" s="218"/>
      <c r="Q490" s="60"/>
      <c r="R490" s="52"/>
      <c r="S490" s="66"/>
      <c r="T490" s="65"/>
      <c r="U490" s="68"/>
      <c r="V490" s="75"/>
      <c r="W490" s="6"/>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c r="P491" s="218"/>
      <c r="Q491" s="59"/>
      <c r="R491" s="51"/>
      <c r="S491" s="65"/>
      <c r="T491" s="64"/>
      <c r="U491" s="67"/>
      <c r="V491" s="74"/>
      <c r="W491" s="6"/>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c r="P492" s="218"/>
      <c r="Q492" s="60"/>
      <c r="R492" s="52"/>
      <c r="S492" s="66"/>
      <c r="T492" s="65"/>
      <c r="U492" s="68"/>
      <c r="V492" s="59"/>
      <c r="W492" s="6"/>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c r="P493" s="218"/>
      <c r="Q493" s="59"/>
      <c r="R493" s="51"/>
      <c r="S493" s="65"/>
      <c r="T493" s="64"/>
      <c r="U493" s="67"/>
      <c r="V493" s="74"/>
      <c r="W493" s="6"/>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c r="P494" s="218"/>
      <c r="Q494" s="60"/>
      <c r="R494" s="52"/>
      <c r="S494" s="66"/>
      <c r="T494" s="65"/>
      <c r="U494" s="68"/>
      <c r="V494" s="59"/>
      <c r="W494" s="6"/>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c r="P495" s="218"/>
      <c r="Q495" s="59"/>
      <c r="R495" s="51"/>
      <c r="S495" s="65"/>
      <c r="T495" s="64"/>
      <c r="U495" s="67"/>
      <c r="V495" s="74"/>
      <c r="W495" s="6"/>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c r="P496" s="218"/>
      <c r="Q496" s="60"/>
      <c r="R496" s="52"/>
      <c r="S496" s="66"/>
      <c r="T496" s="65"/>
      <c r="U496" s="68"/>
      <c r="V496" s="59"/>
      <c r="W496" s="6"/>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c r="P497" s="218"/>
      <c r="Q497" s="59"/>
      <c r="R497" s="51"/>
      <c r="S497" s="65"/>
      <c r="T497" s="64"/>
      <c r="U497" s="67"/>
      <c r="V497" s="74"/>
      <c r="W497" s="6"/>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c r="P498" s="218"/>
      <c r="Q498" s="60"/>
      <c r="R498" s="52"/>
      <c r="S498" s="66"/>
      <c r="T498" s="65"/>
      <c r="U498" s="68"/>
      <c r="V498" s="59"/>
      <c r="W498" s="6"/>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c r="P499" s="218"/>
      <c r="Q499" s="59"/>
      <c r="R499" s="51"/>
      <c r="S499" s="65"/>
      <c r="T499" s="64"/>
      <c r="U499" s="67"/>
      <c r="V499" s="74"/>
      <c r="W499" s="6"/>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c r="P500" s="218"/>
      <c r="Q500" s="60"/>
      <c r="R500" s="52"/>
      <c r="S500" s="66"/>
      <c r="T500" s="65"/>
      <c r="U500" s="68"/>
      <c r="V500" s="75"/>
      <c r="W500" s="6"/>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c r="P501" s="218"/>
      <c r="Q501" s="59"/>
      <c r="R501" s="51"/>
      <c r="S501" s="65"/>
      <c r="T501" s="64"/>
      <c r="U501" s="67"/>
      <c r="V501" s="74"/>
      <c r="W501" s="6"/>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c r="P502" s="218"/>
      <c r="Q502" s="60"/>
      <c r="R502" s="52"/>
      <c r="S502" s="66"/>
      <c r="T502" s="65"/>
      <c r="U502" s="68"/>
      <c r="V502" s="59"/>
      <c r="W502" s="6"/>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c r="P503" s="218"/>
      <c r="Q503" s="59"/>
      <c r="R503" s="51"/>
      <c r="S503" s="65"/>
      <c r="T503" s="64"/>
      <c r="U503" s="67"/>
      <c r="V503" s="74"/>
      <c r="W503" s="6"/>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c r="P504" s="218"/>
      <c r="Q504" s="60"/>
      <c r="R504" s="52"/>
      <c r="S504" s="66"/>
      <c r="T504" s="65"/>
      <c r="U504" s="68"/>
      <c r="V504" s="59"/>
      <c r="W504" s="6"/>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c r="P505" s="218"/>
      <c r="Q505" s="59"/>
      <c r="R505" s="51"/>
      <c r="S505" s="65"/>
      <c r="T505" s="64"/>
      <c r="U505" s="67"/>
      <c r="V505" s="74"/>
      <c r="W505" s="6"/>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c r="P506" s="218"/>
      <c r="Q506" s="60"/>
      <c r="R506" s="52"/>
      <c r="S506" s="66"/>
      <c r="T506" s="65"/>
      <c r="U506" s="68"/>
      <c r="V506" s="59"/>
      <c r="W506" s="6"/>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c r="P507" s="218"/>
      <c r="Q507" s="59"/>
      <c r="R507" s="51"/>
      <c r="S507" s="65"/>
      <c r="T507" s="64"/>
      <c r="U507" s="67"/>
      <c r="V507" s="74"/>
      <c r="W507" s="6"/>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c r="P508" s="218"/>
      <c r="Q508" s="60"/>
      <c r="R508" s="52"/>
      <c r="S508" s="66"/>
      <c r="T508" s="65"/>
      <c r="U508" s="68"/>
      <c r="V508" s="59"/>
      <c r="W508" s="6"/>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c r="P509" s="218"/>
      <c r="Q509" s="59"/>
      <c r="R509" s="51"/>
      <c r="S509" s="65"/>
      <c r="T509" s="64"/>
      <c r="U509" s="67"/>
      <c r="V509" s="74"/>
      <c r="W509" s="6"/>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c r="P510" s="218"/>
      <c r="Q510" s="60"/>
      <c r="R510" s="52"/>
      <c r="S510" s="66"/>
      <c r="T510" s="65"/>
      <c r="U510" s="68"/>
      <c r="V510" s="75"/>
      <c r="W510" s="6"/>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c r="P511" s="218"/>
      <c r="Q511" s="59"/>
      <c r="R511" s="51"/>
      <c r="S511" s="65"/>
      <c r="T511" s="64"/>
      <c r="U511" s="67"/>
      <c r="V511" s="74"/>
      <c r="W511" s="6"/>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c r="P512" s="218"/>
      <c r="Q512" s="60"/>
      <c r="R512" s="52"/>
      <c r="S512" s="66"/>
      <c r="T512" s="65"/>
      <c r="U512" s="68"/>
      <c r="V512" s="59"/>
      <c r="W512" s="6"/>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c r="P513" s="218"/>
      <c r="Q513" s="59"/>
      <c r="R513" s="51"/>
      <c r="S513" s="65"/>
      <c r="T513" s="64"/>
      <c r="U513" s="67"/>
      <c r="V513" s="74"/>
      <c r="W513" s="6"/>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c r="P514" s="218"/>
      <c r="Q514" s="60"/>
      <c r="R514" s="52"/>
      <c r="S514" s="66"/>
      <c r="T514" s="65"/>
      <c r="U514" s="68"/>
      <c r="V514" s="59"/>
      <c r="W514" s="6"/>
      <c r="X514" s="76"/>
      <c r="Y514" s="180"/>
    </row>
  </sheetData>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A514 X15:X514">
    <cfRule type="expression" dxfId="9" priority="851">
      <formula>$X15="YES"</formula>
    </cfRule>
  </conditionalFormatting>
  <conditionalFormatting sqref="A15:A514">
    <cfRule type="expression" dxfId="8" priority="2995">
      <formula>$W15="YES"</formula>
    </cfRule>
  </conditionalFormatting>
  <conditionalFormatting sqref="B30:U44">
    <cfRule type="expression" dxfId="7" priority="2">
      <formula>$U30="YES"</formula>
    </cfRule>
  </conditionalFormatting>
  <conditionalFormatting sqref="B30:V44">
    <cfRule type="expression" dxfId="6" priority="1">
      <formula>$V30="YES"</formula>
    </cfRule>
  </conditionalFormatting>
  <conditionalFormatting sqref="B15:W29 B45:W514">
    <cfRule type="expression" dxfId="5" priority="91">
      <formula>$X15="YES"</formula>
    </cfRule>
    <cfRule type="expression" dxfId="4" priority="92">
      <formula>$W15="YES"</formula>
    </cfRule>
  </conditionalFormatting>
  <conditionalFormatting sqref="H15:I514">
    <cfRule type="expression" dxfId="3" priority="36">
      <formula>$H15="Other (Specify) "</formula>
    </cfRule>
  </conditionalFormatting>
  <dataValidations count="4">
    <dataValidation allowBlank="1" showInputMessage="1" showErrorMessage="1" prompt="Use MM/DD/YYYY format.  Leave blank until date is needed. " sqref="J15:J514" xr:uid="{00000000-0002-0000-0E00-000000000000}"/>
    <dataValidation allowBlank="1" showInputMessage="1" showErrorMessage="1" prompt="will auto populate" sqref="W15:W29 W45:W514 U30:U44" xr:uid="{00000000-0002-0000-0E00-000001000000}"/>
    <dataValidation allowBlank="1" showInputMessage="1" showErrorMessage="1" prompt="Note Section for Column H" sqref="I15:I514" xr:uid="{00000000-0002-0000-0E00-000002000000}"/>
    <dataValidation allowBlank="1" showInputMessage="1" showErrorMessage="1" prompt="auto populates" sqref="B15:C514" xr:uid="{00000000-0002-0000-0E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E00-000004000000}">
          <x14:formula1>
            <xm:f>'drop down list '!$A$3:$A$4</xm:f>
          </x14:formula1>
          <xm:sqref>L45:L514 R45:R514 R15:R29 L15:L29 D15:G29 D45:G514</xm:sqref>
        </x14:dataValidation>
        <x14:dataValidation type="list" allowBlank="1" showInputMessage="1" showErrorMessage="1" xr:uid="{00000000-0002-0000-0E00-000005000000}">
          <x14:formula1>
            <xm:f>'drop down list '!$C$2:$C$4</xm:f>
          </x14:formula1>
          <xm:sqref>H15:H29 H45:H514</xm:sqref>
        </x14:dataValidation>
        <x14:dataValidation type="list" allowBlank="1" showInputMessage="1" showErrorMessage="1" xr:uid="{00000000-0002-0000-0E00-000006000000}">
          <x14:formula1>
            <xm:f>'drop down list '!$A$21:$A$23</xm:f>
          </x14:formula1>
          <xm:sqref>Q15:Q29 Q30:Q514</xm:sqref>
        </x14:dataValidation>
        <x14:dataValidation type="list" allowBlank="1" showInputMessage="1" showErrorMessage="1" xr:uid="{00000000-0002-0000-0E00-000007000000}">
          <x14:formula1>
            <xm:f>'drop down list '!$G$24:$G$29</xm:f>
          </x14:formula1>
          <xm:sqref>U15:U29 U45:U514</xm:sqref>
        </x14:dataValidation>
        <x14:dataValidation type="list" allowBlank="1" showInputMessage="1" showErrorMessage="1" xr:uid="{00000000-0002-0000-0E00-000008000000}">
          <x14:formula1>
            <xm:f>'drop down list '!$G$14:$G$18</xm:f>
          </x14:formula1>
          <xm:sqref>V15:V29 V45:V514</xm:sqref>
        </x14:dataValidation>
        <x14:dataValidation type="list" allowBlank="1" showInputMessage="1" showErrorMessage="1" xr:uid="{00000000-0002-0000-0E00-000009000000}">
          <x14:formula1>
            <xm:f>'drop down list '!$N$12:$N$23</xm:f>
          </x14:formula1>
          <xm:sqref>E9:F9</xm:sqref>
        </x14:dataValidation>
        <x14:dataValidation type="list" allowBlank="1" showInputMessage="1" showErrorMessage="1" xr:uid="{00000000-0002-0000-0E00-00000A000000}">
          <x14:formula1>
            <xm:f>'drop down list '!$P$15:$P$20</xm:f>
          </x14:formula1>
          <xm:sqref>G9:I9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sheetPr>
  <dimension ref="A1:Y514"/>
  <sheetViews>
    <sheetView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218</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92</v>
      </c>
      <c r="F9" s="447"/>
      <c r="G9" s="491">
        <v>2024</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147" t="s">
        <v>122</v>
      </c>
      <c r="F13" s="148" t="s">
        <v>212</v>
      </c>
      <c r="G13" s="472" t="s">
        <v>19</v>
      </c>
      <c r="H13" s="496" t="s">
        <v>106</v>
      </c>
      <c r="I13" s="494" t="s">
        <v>105</v>
      </c>
      <c r="J13" s="14" t="s">
        <v>17</v>
      </c>
      <c r="K13" s="140" t="s">
        <v>16</v>
      </c>
      <c r="L13" s="474" t="s">
        <v>15</v>
      </c>
      <c r="M13" s="482" t="s">
        <v>14</v>
      </c>
      <c r="N13" s="483"/>
      <c r="O13" s="485" t="s">
        <v>353</v>
      </c>
      <c r="P13" s="485" t="s">
        <v>354</v>
      </c>
      <c r="Q13" s="476" t="s">
        <v>13</v>
      </c>
      <c r="R13" s="478" t="s">
        <v>218</v>
      </c>
      <c r="S13" s="480" t="s">
        <v>11</v>
      </c>
      <c r="T13" s="452" t="s">
        <v>10</v>
      </c>
      <c r="U13" s="464" t="s">
        <v>9</v>
      </c>
      <c r="V13" s="462" t="s">
        <v>8</v>
      </c>
      <c r="W13" s="489" t="s">
        <v>7</v>
      </c>
      <c r="Y13" s="449" t="s">
        <v>118</v>
      </c>
    </row>
    <row r="14" spans="1:25" ht="22.5" x14ac:dyDescent="0.25">
      <c r="A14" s="460"/>
      <c r="B14" s="467"/>
      <c r="C14" s="469"/>
      <c r="D14" s="471"/>
      <c r="E14" s="145" t="s">
        <v>6</v>
      </c>
      <c r="F14" s="146"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9"/>
      <c r="K15" s="70"/>
      <c r="L15" s="52"/>
      <c r="M15" s="8"/>
      <c r="N15" s="7"/>
      <c r="O15" s="218">
        <f>K15*N15</f>
        <v>0</v>
      </c>
      <c r="P15" s="218">
        <f>O15+MAY!P15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3"/>
      <c r="K16" s="71"/>
      <c r="L16" s="53"/>
      <c r="M16" s="2"/>
      <c r="N16" s="1"/>
      <c r="O16" s="218">
        <f t="shared" ref="O16:O79" si="0">K16*N16</f>
        <v>0</v>
      </c>
      <c r="P16" s="218">
        <f>O16+MAY!P16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O17+MAY!P17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3"/>
      <c r="K18" s="71"/>
      <c r="L18" s="53"/>
      <c r="M18" s="2"/>
      <c r="N18" s="1"/>
      <c r="O18" s="218">
        <f t="shared" si="0"/>
        <v>0</v>
      </c>
      <c r="P18" s="218">
        <f>O18+MAY!P18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9"/>
      <c r="K19" s="70"/>
      <c r="L19" s="52"/>
      <c r="M19" s="8"/>
      <c r="N19" s="7"/>
      <c r="O19" s="218">
        <f t="shared" si="0"/>
        <v>0</v>
      </c>
      <c r="P19" s="218">
        <f>O19+MAY!P19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O20+MAY!P20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O21+MAY!P21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O22+MAY!P22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O23+MAY!P23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3"/>
      <c r="K24" s="71"/>
      <c r="L24" s="53"/>
      <c r="M24" s="2"/>
      <c r="N24" s="1"/>
      <c r="O24" s="218">
        <f t="shared" si="0"/>
        <v>0</v>
      </c>
      <c r="P24" s="218">
        <f>O24+MAY!P24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9"/>
      <c r="K25" s="70"/>
      <c r="L25" s="52"/>
      <c r="M25" s="8"/>
      <c r="N25" s="7"/>
      <c r="O25" s="218">
        <f t="shared" si="0"/>
        <v>0</v>
      </c>
      <c r="P25" s="218">
        <f>O25+MAY!P25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3"/>
      <c r="K26" s="71"/>
      <c r="L26" s="53"/>
      <c r="M26" s="2"/>
      <c r="N26" s="1"/>
      <c r="O26" s="218">
        <f t="shared" si="0"/>
        <v>0</v>
      </c>
      <c r="P26" s="218">
        <f>O26+MAY!P26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9"/>
      <c r="K27" s="70"/>
      <c r="L27" s="52"/>
      <c r="M27" s="8"/>
      <c r="N27" s="7"/>
      <c r="O27" s="218">
        <f t="shared" si="0"/>
        <v>0</v>
      </c>
      <c r="P27" s="218">
        <f>O27+MAY!P27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O28+MAY!P28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O29+MAY!P29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t="e">
        <f>O30+MAY!P30</f>
        <v>#VALUE!</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O31+MAY!P31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t="e">
        <f>O32+MAY!P32</f>
        <v>#VALUE!</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O33+MAY!P33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3"/>
      <c r="K34" s="71"/>
      <c r="L34" s="53"/>
      <c r="M34" s="2"/>
      <c r="N34" s="1"/>
      <c r="O34" s="218">
        <f t="shared" si="0"/>
        <v>0</v>
      </c>
      <c r="P34" s="218" t="e">
        <f>O34+MAY!P34</f>
        <v>#VALUE!</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O35+MAY!P35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O36+MAY!P36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O37+MAY!P37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O38+MAY!P38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O39+MAY!P39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O40+MAY!P40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O41+MAY!P41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t="e">
        <f>O42+MAY!P42</f>
        <v>#VALUE!</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O43+MAY!P43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O44+MAY!P44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O45+MAY!P45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O46+MAY!P46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O47+MAY!P47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O48+MAY!P48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O49+MAY!P49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O50+MAY!P50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O51+MAY!P51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O52+MAY!P52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O53+MAY!P53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O54+MAY!P54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O55+MAY!P55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O56+MAY!P56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O57+MAY!P57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O58+MAY!P58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O59+MAY!P59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O60+MAY!P60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O61+MAY!P61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O62+MAY!P62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O63+MAY!P63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O64+MAY!P64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O65+MAY!P65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O66+MAY!P66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O67+MAY!P67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O68+MAY!P68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O69+MAY!P69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O70+MAY!P70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O71+MAY!P71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O72+MAY!P72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O73+MAY!P73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O74+MAY!P74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O75+MAY!P75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O76+MAY!P76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O77+MAY!P77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O78+MAY!P78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O79+MAY!P79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O80+MAY!P80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O81+MAY!P81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O82+MAY!P82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O83+MAY!P83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O84+MAY!P84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O85+MAY!P85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O86+MAY!P86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O87+MAY!P87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O88+MAY!P88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O89+MAY!P89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O90+MAY!P90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O91+MAY!P91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O92+MAY!P92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O93+MAY!P93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O94+MAY!P94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O95+MAY!P95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O96+MAY!P96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O97+MAY!P97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O98+MAY!P98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O99+MAY!P99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O100+MAY!P100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O101+MAY!P101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O102+MAY!P102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O103+MAY!P103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O104+MAY!P104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O105+MAY!P105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O106+MAY!P106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O107+MAY!P107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O108+MAY!P108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O109+MAY!P109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O110+MAY!P110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O111+MAY!P111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O112+MAY!P112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O113+MAY!P113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O114+MAY!P114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O115+MAY!P115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O116+MAY!P116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O117+MAY!P117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O118+MAY!P118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O119+MAY!P119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O120+MAY!P120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O121+MAY!P121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O122+MAY!P122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O123+MAY!P123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O124+MAY!P124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O125+MAY!P125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O126+MAY!P126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O127+MAY!P127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O128+MAY!P128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O129+MAY!P129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O130+MAY!P130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O131+MAY!P131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O132+MAY!P132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O133+MAY!P133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O134+MAY!P134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O135+MAY!P135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O136+MAY!P136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O137+MAY!P137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O138+MAY!P138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O139+MAY!P139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O140+MAY!P140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O141+MAY!P141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O142+MAY!P142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O143+MAY!P143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O144+MAY!P144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O145+MAY!P145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O146+MAY!P146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O147+MAY!P147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O148+MAY!P148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O149+MAY!P149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O150+MAY!P150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O151+MAY!P151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O152+MAY!P152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O153+MAY!P153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O154+MAY!P154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O155+MAY!P155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O156+MAY!P156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O157+MAY!P157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O158+MAY!P158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O159+MAY!P159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O160+MAY!P160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O161+MAY!P161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O162+MAY!P162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O163+MAY!P163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O164+MAY!P164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O165+MAY!P165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O166+MAY!P166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O167+MAY!P167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O168+MAY!P168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O169+MAY!P169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O170+MAY!P170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O171+MAY!P171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O172+MAY!P172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O173+MAY!P173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O174+MAY!P174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O175+MAY!P175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O176+MAY!P176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O177+MAY!P177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O178+MAY!P178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O179+MAY!P179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O180+MAY!P180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O181+MAY!P181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O182+MAY!P182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O183+MAY!P183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O184+MAY!P184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O185+MAY!P185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O186+MAY!P186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O187+MAY!P187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O188+MAY!P188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O189+MAY!P189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O190+MAY!P190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O191+MAY!P191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O192+MAY!P192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O193+MAY!P193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O194+MAY!P194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O195+MAY!P195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O196+MAY!P196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O197+MAY!P197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O198+MAY!P198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O199+MAY!P199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O200+MAY!P200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O201+MAY!P201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O202+MAY!P202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O203+MAY!P203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O204+MAY!P204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O205+MAY!P205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O206+MAY!P206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O207+MAY!P207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O208+MAY!P208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O209+MAY!P209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O210+MAY!P210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O211+MAY!P211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O212+MAY!P212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O213+MAY!P213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O214+MAY!P214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O215+MAY!P215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O216+MAY!P216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O217+MAY!P217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O218+MAY!P218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O219+MAY!P219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O220+MAY!P220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O221+MAY!P221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O222+MAY!P222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O223+MAY!P223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O224+MAY!P224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O225+MAY!P225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O226+MAY!P226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O227+MAY!P227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O228+MAY!P228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O229+MAY!P229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O230+MAY!P230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O231+MAY!P231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O232+MAY!P232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O233+MAY!P233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O234+MAY!P234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O235+MAY!P235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O236+MAY!P236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O237+MAY!P237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O238+MAY!P238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O239+MAY!P239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O240+MAY!P240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O241+MAY!P241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O242+MAY!P242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O243+MAY!P243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O244+MAY!P244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O245+MAY!P245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O246+MAY!P246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O247+MAY!P247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O248+MAY!P248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O249+MAY!P249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O250+MAY!P250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O251+MAY!P251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O252+MAY!P252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O253+MAY!P253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O254+MAY!P254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O255+MAY!P255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O256+MAY!P256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O257+MAY!P257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O258+MAY!P258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O259+MAY!P259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O260+MAY!P260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O261+MAY!P261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O262+MAY!P262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O263+MAY!P263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O264+MAY!P264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O265+MAY!P265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O266+MAY!P266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O267+MAY!P267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O268+MAY!P268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O269+MAY!P269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O270+MAY!P270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O271+MAY!P271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O272+MAY!P272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O273+MAY!P273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O274+MAY!P274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O275+MAY!P275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O276+MAY!P276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O277+MAY!P277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O278+MAY!P278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O279+MAY!P279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O280+MAY!P280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O281+MAY!P281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O282+MAY!P282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O283+MAY!P283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O284+MAY!P284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O285+MAY!P285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O286+MAY!P286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O287+MAY!P287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O288+MAY!P288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O289+MAY!P289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O290+MAY!P290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O291+MAY!P291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O292+MAY!P292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O293+MAY!P293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O294+MAY!P294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O295+MAY!P295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O296+MAY!P296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O297+MAY!P297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O298+MAY!P298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O299+MAY!P299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O300+MAY!P300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O301+MAY!P301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O302+MAY!P302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O303+MAY!P303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O304+MAY!P304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O305+MAY!P305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O306+MAY!P306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O307+MAY!P307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O308+MAY!P308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O309+MAY!P309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O310+MAY!P310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O311+MAY!P311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O312+MAY!P312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O313+MAY!P313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O314+MAY!P314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O315+MAY!P315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O316+MAY!P316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O317+MAY!P317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O318+MAY!P318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O319+MAY!P319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O320+MAY!P320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O321+MAY!P321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O322+MAY!P322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O323+MAY!P323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O324+MAY!P324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O325+MAY!P325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O326+MAY!P326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O327+MAY!P327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O328+MAY!P328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O329+MAY!P329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O330+MAY!P330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O331+MAY!P331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O332+MAY!P332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O333+MAY!P333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O334+MAY!P334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O335+MAY!P335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O336+MAY!P336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O337+MAY!P337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O338+MAY!P338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O339+MAY!P339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O340+MAY!P340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O341+MAY!P341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O342+MAY!P342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O343+MAY!P343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O344+MAY!P344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O345+MAY!P345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O346+MAY!P346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O347+MAY!P347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O348+MAY!P348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O349+MAY!P349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O350+MAY!P350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O351+MAY!P351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O352+MAY!P352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O353+MAY!P353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O354+MAY!P354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O355+MAY!P355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O356+MAY!P356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O357+MAY!P357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O358+MAY!P358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O359+MAY!P359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O360+MAY!P360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O361+MAY!P361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O362+MAY!P362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O363+MAY!P363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O364+MAY!P364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O365+MAY!P365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O366+MAY!P366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O367+MAY!P367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O368+MAY!P368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O369+MAY!P369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O370+MAY!P370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O371+MAY!P371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O372+MAY!P372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O373+MAY!P373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O374+MAY!P374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O375+MAY!P375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O376+MAY!P376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O377+MAY!P377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O378+MAY!P378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O379+MAY!P379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O380+MAY!P380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O381+MAY!P381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O382+MAY!P382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O383+MAY!P383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O384+MAY!P384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O385+MAY!P385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O386+MAY!P386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O387+MAY!P387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O388+MAY!P388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O389+MAY!P389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O390+MAY!P390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O391+MAY!P391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O392+MAY!P392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O393+MAY!P393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O394+MAY!P394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O395+MAY!P395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O396+MAY!P396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O397+MAY!P397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O398+MAY!P398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O399+MAY!P399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O400+MAY!P400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O401+MAY!P401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O402+MAY!P402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O403+MAY!P403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O404+MAY!P404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O405+MAY!P405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O406+MAY!P406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O407+MAY!P407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O408+MAY!P408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O409+MAY!P409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O410+MAY!P410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O411+MAY!P411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O412+MAY!P412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O413+MAY!P413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O414+MAY!P414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O415+MAY!P415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O416+MAY!P416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O417+MAY!P417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O418+MAY!P418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O419+MAY!P419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O420+MAY!P420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O421+MAY!P421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O422+MAY!P422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O423+MAY!P423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O424+MAY!P424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O425+MAY!P425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O426+MAY!P426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O427+MAY!P427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O428+MAY!P428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O429+MAY!P429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O430+MAY!P430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O431+MAY!P431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O432+MAY!P432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O433+MAY!P433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O434+MAY!P434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O435+MAY!P435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O436+MAY!P436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O437+MAY!P437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O438+MAY!P438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O439+MAY!P439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O440+MAY!P440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O441+MAY!P441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O442+MAY!P442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O443+MAY!P443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O444+MAY!P444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O445+MAY!P445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O446+MAY!P446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O447+MAY!P447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O448+MAY!P448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O449+MAY!P449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O450+MAY!P450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O451+MAY!P451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O452+MAY!P452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O453+MAY!P453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O454+MAY!P454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O455+MAY!P455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O456+MAY!P456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O457+MAY!P457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O458+MAY!P458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O459+MAY!P459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O460+MAY!P460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O461+MAY!P461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O462+MAY!P462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O463+MAY!P463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O464+MAY!P464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O465+MAY!P465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O466+MAY!P466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O467+MAY!P467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O468+MAY!P468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O469+MAY!P469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O470+MAY!P470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O471+MAY!P471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O472+MAY!P472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O473+MAY!P473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O474+MAY!P474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O475+MAY!P475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O476+MAY!P476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O477+MAY!P477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O478+MAY!P478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O479+MAY!P479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O480+MAY!P480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O481+MAY!P481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O482+MAY!P482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O483+MAY!P483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O484+MAY!P484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O485+MAY!P485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O486+MAY!P486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O487+MAY!P487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O488+MAY!P488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O489+MAY!P489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O490+MAY!P490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O491+MAY!P491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O492+MAY!P492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O493+MAY!P493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O494+MAY!P494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O495+MAY!P495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O496+MAY!P496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O497+MAY!P497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O498+MAY!P498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O499+MAY!P499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O500+MAY!P500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O501+MAY!P501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O502+MAY!P502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O503+MAY!P503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O504+MAY!P504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O505+MAY!P505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O506+MAY!P506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O507+MAY!P507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O508+MAY!P508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O509+MAY!P509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O510+MAY!P510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O511+MAY!P511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O512+MAY!P512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O513+MAY!P513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O514+MAY!P514</f>
        <v>0</v>
      </c>
      <c r="Q514" s="60"/>
      <c r="R514" s="52"/>
      <c r="S514" s="66"/>
      <c r="T514" s="65"/>
      <c r="U514" s="68"/>
      <c r="V514" s="59"/>
      <c r="W514" s="6">
        <f>'CLIENT ENROLLMENT DISCHARGE '!M514</f>
        <v>0</v>
      </c>
      <c r="X514" s="76"/>
      <c r="Y514" s="180"/>
    </row>
  </sheetData>
  <sheetProtection algorithmName="SHA-512" hashValue="c+tqSQLtUG1eouGe5509+XHVJlTyvSXJJKiRir3MeYlVQWCnWbFeo4y0t47ZYwA1BdANLHsLuIQVttnSE04Ebg==" saltValue="6fKmcsV5iiT8iP7C7eX0sQ=="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2" priority="2">
      <formula>$W15="YES"</formula>
    </cfRule>
  </conditionalFormatting>
  <conditionalFormatting sqref="A15:X514">
    <cfRule type="expression" dxfId="1" priority="1">
      <formula>$X15="YES"</formula>
    </cfRule>
  </conditionalFormatting>
  <conditionalFormatting sqref="H15:I514">
    <cfRule type="expression" dxfId="0" priority="809">
      <formula>$H15="Other (Specify) "</formula>
    </cfRule>
  </conditionalFormatting>
  <dataValidations count="4">
    <dataValidation allowBlank="1" showInputMessage="1" showErrorMessage="1" prompt="auto populates" sqref="B15:C514" xr:uid="{00000000-0002-0000-0F00-000000000000}"/>
    <dataValidation allowBlank="1" showInputMessage="1" showErrorMessage="1" prompt="Note Section for Column H" sqref="I15:I514" xr:uid="{00000000-0002-0000-0F00-000001000000}"/>
    <dataValidation allowBlank="1" showInputMessage="1" showErrorMessage="1" prompt="will auto populate" sqref="W15:W514" xr:uid="{00000000-0002-0000-0F00-000002000000}"/>
    <dataValidation allowBlank="1" showInputMessage="1" showErrorMessage="1" prompt="Use MM/DD/YYYY format.  Leave blank until date is needed. " sqref="J15:J514" xr:uid="{00000000-0002-0000-0F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F00-000004000000}">
          <x14:formula1>
            <xm:f>'drop down list '!$P$15:$P$20</xm:f>
          </x14:formula1>
          <xm:sqref>G9:I9</xm:sqref>
        </x14:dataValidation>
        <x14:dataValidation type="list" allowBlank="1" showInputMessage="1" showErrorMessage="1" xr:uid="{00000000-0002-0000-0F00-000005000000}">
          <x14:formula1>
            <xm:f>'drop down list '!$N$12:$N$23</xm:f>
          </x14:formula1>
          <xm:sqref>E9:F9</xm:sqref>
        </x14:dataValidation>
        <x14:dataValidation type="list" allowBlank="1" showInputMessage="1" showErrorMessage="1" xr:uid="{00000000-0002-0000-0F00-000006000000}">
          <x14:formula1>
            <xm:f>'drop down list '!$G$14:$G$18</xm:f>
          </x14:formula1>
          <xm:sqref>V15:V514</xm:sqref>
        </x14:dataValidation>
        <x14:dataValidation type="list" allowBlank="1" showInputMessage="1" showErrorMessage="1" xr:uid="{00000000-0002-0000-0F00-000007000000}">
          <x14:formula1>
            <xm:f>'drop down list '!$G$24:$G$29</xm:f>
          </x14:formula1>
          <xm:sqref>U15:U514</xm:sqref>
        </x14:dataValidation>
        <x14:dataValidation type="list" allowBlank="1" showInputMessage="1" showErrorMessage="1" xr:uid="{00000000-0002-0000-0F00-000008000000}">
          <x14:formula1>
            <xm:f>'drop down list '!$A$21:$A$23</xm:f>
          </x14:formula1>
          <xm:sqref>Q15:Q514</xm:sqref>
        </x14:dataValidation>
        <x14:dataValidation type="list" allowBlank="1" showInputMessage="1" showErrorMessage="1" xr:uid="{00000000-0002-0000-0F00-000009000000}">
          <x14:formula1>
            <xm:f>'drop down list '!$C$2:$C$4</xm:f>
          </x14:formula1>
          <xm:sqref>H15:H514</xm:sqref>
        </x14:dataValidation>
        <x14:dataValidation type="list" allowBlank="1" showInputMessage="1" showErrorMessage="1" xr:uid="{00000000-0002-0000-0F00-00000A000000}">
          <x14:formula1>
            <xm:f>'drop down list '!$A$3:$A$4</xm:f>
          </x14:formula1>
          <xm:sqref>D15:G514 L15:L514 R15:R514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7AEF-8420-49BE-BBB0-8775DE40D955}">
  <sheetPr>
    <tabColor rgb="FF7030A0"/>
  </sheetPr>
  <dimension ref="A1:Y107"/>
  <sheetViews>
    <sheetView topLeftCell="A20" workbookViewId="0">
      <selection activeCell="L104" sqref="L104:M104"/>
    </sheetView>
  </sheetViews>
  <sheetFormatPr defaultRowHeight="15" x14ac:dyDescent="0.25"/>
  <cols>
    <col min="1" max="9" width="4.7109375" customWidth="1"/>
    <col min="10" max="10" width="9.42578125" customWidth="1"/>
    <col min="11" max="11" width="8.7109375" customWidth="1"/>
    <col min="12" max="23" width="10.7109375" customWidth="1"/>
    <col min="24" max="24" width="15.42578125" customWidth="1"/>
  </cols>
  <sheetData>
    <row r="1" spans="1:25" ht="15.75" x14ac:dyDescent="0.25">
      <c r="A1" s="190" t="str">
        <f>'CLIENT ENROLLMENT DISCHARGE '!A2</f>
        <v>WV Bureau for Behavioral Health and Health Facilities  - Customized Employment v20230622</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x14ac:dyDescent="0.25">
      <c r="A2" s="192" t="str">
        <f>'CLIENT ENROLLMENT DISCHARGE '!A3</f>
        <v>State Fiscal Year  2024  (July 1, 2023 - June 30, 2024)</v>
      </c>
      <c r="B2" s="193"/>
      <c r="C2" s="193"/>
      <c r="D2" s="193"/>
      <c r="E2" s="193"/>
      <c r="F2" s="193"/>
      <c r="G2" s="193"/>
      <c r="H2" s="193"/>
      <c r="I2" s="193"/>
      <c r="J2" s="193"/>
      <c r="K2" s="193"/>
      <c r="L2" s="193"/>
      <c r="M2" s="193"/>
      <c r="N2" s="193"/>
      <c r="O2" s="193"/>
      <c r="P2" s="193"/>
      <c r="Q2" s="193"/>
      <c r="R2" s="193"/>
      <c r="S2" s="193"/>
      <c r="T2" s="193"/>
      <c r="U2" s="193"/>
      <c r="V2" s="193"/>
      <c r="W2" s="193"/>
      <c r="X2" s="193"/>
      <c r="Y2" s="193"/>
    </row>
    <row r="3" spans="1:25" x14ac:dyDescent="0.25">
      <c r="A3" s="194" t="str">
        <f>'CLIENT ENROLLMENT DISCHARGE '!A4</f>
        <v xml:space="preserve">Program reports need to be submitted electronically, via e-mail to DHHRBBHReporting@wv.gov  within 25 calendar days of the end of each month </v>
      </c>
      <c r="B3" s="195"/>
      <c r="C3" s="195"/>
      <c r="D3" s="195"/>
      <c r="E3" s="195"/>
      <c r="F3" s="195"/>
      <c r="G3" s="195"/>
      <c r="H3" s="195"/>
      <c r="I3" s="195"/>
      <c r="J3" s="195"/>
      <c r="K3" s="195"/>
      <c r="L3" s="195"/>
      <c r="M3" s="195"/>
      <c r="N3" s="195"/>
      <c r="O3" s="195"/>
      <c r="P3" s="195"/>
      <c r="Q3" s="195"/>
      <c r="R3" s="195"/>
      <c r="S3" s="195"/>
      <c r="T3" s="195"/>
      <c r="U3" s="195"/>
      <c r="V3" s="195"/>
      <c r="W3" s="195"/>
      <c r="X3" s="195"/>
      <c r="Y3" s="195"/>
    </row>
    <row r="4" spans="1:25" ht="15.75" x14ac:dyDescent="0.25">
      <c r="A4" s="692" t="s">
        <v>33</v>
      </c>
      <c r="B4" s="693"/>
      <c r="C4" s="693"/>
      <c r="D4" s="693"/>
      <c r="E4" s="693"/>
      <c r="F4" s="693"/>
      <c r="G4" s="693"/>
      <c r="H4" s="693"/>
      <c r="I4" s="694"/>
      <c r="J4" s="695" t="str">
        <f>'CLIENT ENROLLMENT DISCHARGE '!E5</f>
        <v>Customized Employment</v>
      </c>
      <c r="K4" s="696"/>
      <c r="L4" s="696"/>
      <c r="M4" s="696"/>
      <c r="N4" s="696"/>
      <c r="O4" s="697"/>
      <c r="P4" s="692" t="s">
        <v>32</v>
      </c>
      <c r="Q4" s="693"/>
      <c r="R4" s="693"/>
      <c r="S4" s="693"/>
      <c r="T4" s="693"/>
      <c r="U4" s="694"/>
      <c r="V4" s="664">
        <f>'CLIENT ENROLLMENT DISCHARGE '!M5</f>
        <v>0</v>
      </c>
      <c r="W4" s="665"/>
      <c r="X4" s="665"/>
      <c r="Y4" s="666"/>
    </row>
    <row r="5" spans="1:25" ht="15.75" x14ac:dyDescent="0.25">
      <c r="A5" s="692" t="s">
        <v>31</v>
      </c>
      <c r="B5" s="693"/>
      <c r="C5" s="693"/>
      <c r="D5" s="693"/>
      <c r="E5" s="693"/>
      <c r="F5" s="693"/>
      <c r="G5" s="693"/>
      <c r="H5" s="693"/>
      <c r="I5" s="694"/>
      <c r="J5" s="695">
        <f>'CLIENT ENROLLMENT DISCHARGE '!E6</f>
        <v>0</v>
      </c>
      <c r="K5" s="696"/>
      <c r="L5" s="696"/>
      <c r="M5" s="696"/>
      <c r="N5" s="696"/>
      <c r="O5" s="697"/>
      <c r="P5" s="692" t="s">
        <v>30</v>
      </c>
      <c r="Q5" s="693"/>
      <c r="R5" s="693"/>
      <c r="S5" s="693"/>
      <c r="T5" s="693"/>
      <c r="U5" s="694"/>
      <c r="V5" s="667">
        <f>'CLIENT ENROLLMENT DISCHARGE '!M6</f>
        <v>0</v>
      </c>
      <c r="W5" s="668"/>
      <c r="X5" s="668"/>
      <c r="Y5" s="669"/>
    </row>
    <row r="6" spans="1:25" ht="15.75" x14ac:dyDescent="0.25">
      <c r="A6" s="670" t="s">
        <v>29</v>
      </c>
      <c r="B6" s="671"/>
      <c r="C6" s="671"/>
      <c r="D6" s="671"/>
      <c r="E6" s="671"/>
      <c r="F6" s="671"/>
      <c r="G6" s="671"/>
      <c r="H6" s="671"/>
      <c r="I6" s="672"/>
      <c r="J6" s="701">
        <f>'CLIENT ENROLLMENT DISCHARGE '!E7</f>
        <v>0</v>
      </c>
      <c r="K6" s="702"/>
      <c r="L6" s="702"/>
      <c r="M6" s="702"/>
      <c r="N6" s="702"/>
      <c r="O6" s="703"/>
      <c r="P6" s="692" t="s">
        <v>148</v>
      </c>
      <c r="Q6" s="693"/>
      <c r="R6" s="693"/>
      <c r="S6" s="693"/>
      <c r="T6" s="693"/>
      <c r="U6" s="694"/>
      <c r="V6" s="667">
        <f>'CLIENT ENROLLMENT DISCHARGE '!M7</f>
        <v>0</v>
      </c>
      <c r="W6" s="668"/>
      <c r="X6" s="668"/>
      <c r="Y6" s="669"/>
    </row>
    <row r="7" spans="1:25" ht="15.75" x14ac:dyDescent="0.25">
      <c r="A7" s="673"/>
      <c r="B7" s="674"/>
      <c r="C7" s="674"/>
      <c r="D7" s="674"/>
      <c r="E7" s="674"/>
      <c r="F7" s="674"/>
      <c r="G7" s="674"/>
      <c r="H7" s="674"/>
      <c r="I7" s="675"/>
      <c r="J7" s="704"/>
      <c r="K7" s="705"/>
      <c r="L7" s="705"/>
      <c r="M7" s="705"/>
      <c r="N7" s="705"/>
      <c r="O7" s="706"/>
      <c r="P7" s="698" t="s">
        <v>28</v>
      </c>
      <c r="Q7" s="699"/>
      <c r="R7" s="699"/>
      <c r="S7" s="699"/>
      <c r="T7" s="699"/>
      <c r="U7" s="700"/>
      <c r="V7" s="667">
        <f>'CLIENT ENROLLMENT DISCHARGE '!M8</f>
        <v>0</v>
      </c>
      <c r="W7" s="668"/>
      <c r="X7" s="668"/>
      <c r="Y7" s="669"/>
    </row>
    <row r="8" spans="1:25" ht="15.75" customHeight="1" x14ac:dyDescent="0.25">
      <c r="A8" s="221" t="s">
        <v>210</v>
      </c>
      <c r="B8" s="222"/>
      <c r="C8" s="222"/>
      <c r="D8" s="222"/>
      <c r="E8" s="222"/>
      <c r="F8" s="222"/>
      <c r="G8" s="222"/>
      <c r="H8" s="222"/>
      <c r="I8" s="223"/>
      <c r="J8" s="224"/>
      <c r="K8" s="224"/>
      <c r="L8" s="224"/>
      <c r="M8" s="225"/>
      <c r="N8" s="224"/>
      <c r="O8" s="224"/>
      <c r="P8" s="692" t="s">
        <v>211</v>
      </c>
      <c r="Q8" s="693"/>
      <c r="R8" s="693"/>
      <c r="S8" s="693"/>
      <c r="T8" s="693"/>
      <c r="U8" s="694"/>
      <c r="V8" s="667">
        <f>'CLIENT ENROLLMENT DISCHARGE '!M9</f>
        <v>0</v>
      </c>
      <c r="W8" s="668"/>
      <c r="X8" s="668"/>
      <c r="Y8" s="669"/>
    </row>
    <row r="9" spans="1:25" x14ac:dyDescent="0.25">
      <c r="A9" s="219"/>
      <c r="B9" s="220"/>
      <c r="C9" s="220"/>
      <c r="D9" s="220"/>
      <c r="E9" s="220"/>
      <c r="F9" s="220"/>
      <c r="G9" s="220"/>
      <c r="H9" s="220"/>
      <c r="I9" s="220"/>
      <c r="J9" s="220"/>
      <c r="K9" s="220"/>
      <c r="L9" s="220"/>
    </row>
    <row r="10" spans="1:25" ht="24.95" customHeight="1" x14ac:dyDescent="0.25">
      <c r="A10" s="196" t="s">
        <v>149</v>
      </c>
      <c r="B10" s="196"/>
      <c r="C10" s="196"/>
      <c r="D10" s="196"/>
      <c r="E10" s="196"/>
      <c r="F10" s="196"/>
      <c r="G10" s="196"/>
      <c r="H10" s="196"/>
      <c r="I10" s="196"/>
      <c r="J10" s="196"/>
      <c r="K10" s="196"/>
      <c r="L10" s="196"/>
    </row>
    <row r="11" spans="1:25" x14ac:dyDescent="0.25">
      <c r="A11" s="653"/>
      <c r="B11" s="653"/>
      <c r="C11" s="653"/>
      <c r="D11" s="653"/>
      <c r="E11" s="653"/>
      <c r="F11" s="653"/>
      <c r="G11" s="653"/>
      <c r="H11" s="653"/>
      <c r="I11" s="653"/>
      <c r="J11" s="653"/>
      <c r="K11" s="653"/>
      <c r="L11" s="653"/>
    </row>
    <row r="12" spans="1:25" x14ac:dyDescent="0.25">
      <c r="A12" s="518" t="s">
        <v>150</v>
      </c>
      <c r="B12" s="518"/>
      <c r="C12" s="518"/>
      <c r="D12" s="518"/>
      <c r="E12" s="518"/>
      <c r="F12" s="518"/>
      <c r="G12" s="518"/>
      <c r="H12" s="518"/>
      <c r="I12" s="518"/>
      <c r="J12" s="518"/>
      <c r="K12" s="518"/>
      <c r="L12" s="518"/>
    </row>
    <row r="13" spans="1:25" ht="30" customHeight="1" x14ac:dyDescent="0.25">
      <c r="A13" s="551" t="s">
        <v>151</v>
      </c>
      <c r="B13" s="552"/>
      <c r="C13" s="552"/>
      <c r="D13" s="552"/>
      <c r="E13" s="552"/>
      <c r="F13" s="552"/>
      <c r="G13" s="552"/>
      <c r="H13" s="552"/>
      <c r="I13" s="654"/>
      <c r="J13" s="650" t="s">
        <v>165</v>
      </c>
      <c r="K13" s="651"/>
      <c r="L13" s="652"/>
    </row>
    <row r="14" spans="1:25" ht="20.100000000000001" customHeight="1" x14ac:dyDescent="0.25">
      <c r="A14" s="647" t="s">
        <v>167</v>
      </c>
      <c r="B14" s="648"/>
      <c r="C14" s="648"/>
      <c r="D14" s="648"/>
      <c r="E14" s="648"/>
      <c r="F14" s="648"/>
      <c r="G14" s="648"/>
      <c r="H14" s="648"/>
      <c r="I14" s="649"/>
      <c r="J14" s="641">
        <f>COUNTIFS('CLIENT ENROLLMENT DISCHARGE '!D15:D1000,"&gt;=01/01/2010")</f>
        <v>0</v>
      </c>
      <c r="K14" s="642"/>
      <c r="L14" s="643"/>
    </row>
    <row r="15" spans="1:25" ht="20.100000000000001" customHeight="1" x14ac:dyDescent="0.25">
      <c r="A15" s="647" t="s">
        <v>168</v>
      </c>
      <c r="B15" s="648"/>
      <c r="C15" s="648"/>
      <c r="D15" s="648"/>
      <c r="E15" s="648"/>
      <c r="F15" s="648"/>
      <c r="G15" s="648"/>
      <c r="H15" s="648"/>
      <c r="I15" s="649"/>
      <c r="J15" s="641">
        <f>COUNTIFS('CLIENT ENROLLMENT DISCHARGE '!M15:M1000,"&gt;=01/01/2010")</f>
        <v>0</v>
      </c>
      <c r="K15" s="642"/>
      <c r="L15" s="643"/>
    </row>
    <row r="16" spans="1:25" ht="30" customHeight="1" x14ac:dyDescent="0.25">
      <c r="A16" s="644" t="s">
        <v>169</v>
      </c>
      <c r="B16" s="645"/>
      <c r="C16" s="645"/>
      <c r="D16" s="645"/>
      <c r="E16" s="645"/>
      <c r="F16" s="645"/>
      <c r="G16" s="645"/>
      <c r="H16" s="645"/>
      <c r="I16" s="646"/>
      <c r="J16" s="636">
        <f>J14-J15</f>
        <v>0</v>
      </c>
      <c r="K16" s="637"/>
      <c r="L16" s="638"/>
    </row>
    <row r="17" spans="1:12" x14ac:dyDescent="0.25">
      <c r="A17" s="518" t="s">
        <v>170</v>
      </c>
      <c r="B17" s="518"/>
      <c r="C17" s="518"/>
      <c r="D17" s="518"/>
      <c r="E17" s="518"/>
      <c r="F17" s="518"/>
      <c r="G17" s="518"/>
      <c r="H17" s="518"/>
      <c r="I17" s="518"/>
      <c r="J17" s="518"/>
      <c r="K17" s="518"/>
      <c r="L17" s="518"/>
    </row>
    <row r="18" spans="1:12" ht="30" customHeight="1" x14ac:dyDescent="0.25">
      <c r="A18" s="639" t="s">
        <v>171</v>
      </c>
      <c r="B18" s="640"/>
      <c r="C18" s="640"/>
      <c r="D18" s="640"/>
      <c r="E18" s="640"/>
      <c r="F18" s="640"/>
      <c r="G18" s="640"/>
      <c r="H18" s="640"/>
      <c r="I18" s="640"/>
      <c r="J18" s="633" t="s">
        <v>165</v>
      </c>
      <c r="K18" s="634"/>
      <c r="L18" s="635"/>
    </row>
    <row r="19" spans="1:12" ht="20.100000000000001" customHeight="1" x14ac:dyDescent="0.25">
      <c r="A19" s="631" t="s">
        <v>49</v>
      </c>
      <c r="B19" s="632"/>
      <c r="C19" s="632"/>
      <c r="D19" s="632"/>
      <c r="E19" s="632"/>
      <c r="F19" s="632"/>
      <c r="G19" s="632"/>
      <c r="H19" s="632"/>
      <c r="I19" s="632"/>
      <c r="J19" s="626">
        <f>COUNTIFS('CLIENT ENROLLMENT DISCHARGE '!E15:E1001,"Developmental")</f>
        <v>0</v>
      </c>
      <c r="K19" s="627"/>
      <c r="L19" s="628"/>
    </row>
    <row r="20" spans="1:12" ht="20.100000000000001" customHeight="1" x14ac:dyDescent="0.25">
      <c r="A20" s="631" t="s">
        <v>54</v>
      </c>
      <c r="B20" s="632"/>
      <c r="C20" s="632"/>
      <c r="D20" s="632"/>
      <c r="E20" s="632"/>
      <c r="F20" s="632"/>
      <c r="G20" s="632"/>
      <c r="H20" s="632"/>
      <c r="I20" s="632"/>
      <c r="J20" s="626">
        <f>COUNTIFS('CLIENT ENROLLMENT DISCHARGE '!E15:E1001,"Intellectual")</f>
        <v>0</v>
      </c>
      <c r="K20" s="627"/>
      <c r="L20" s="628"/>
    </row>
    <row r="21" spans="1:12" ht="20.100000000000001" customHeight="1" x14ac:dyDescent="0.25">
      <c r="A21" s="631" t="s">
        <v>172</v>
      </c>
      <c r="B21" s="632"/>
      <c r="C21" s="632"/>
      <c r="D21" s="632"/>
      <c r="E21" s="632"/>
      <c r="F21" s="632"/>
      <c r="G21" s="632"/>
      <c r="H21" s="632"/>
      <c r="I21" s="632"/>
      <c r="J21" s="626">
        <f>COUNTIFS('CLIENT ENROLLMENT DISCHARGE '!E15:E1001,"TBI")</f>
        <v>0</v>
      </c>
      <c r="K21" s="627"/>
      <c r="L21" s="628"/>
    </row>
    <row r="22" spans="1:12" ht="30" customHeight="1" x14ac:dyDescent="0.25">
      <c r="A22" s="629" t="s">
        <v>173</v>
      </c>
      <c r="B22" s="630"/>
      <c r="C22" s="630"/>
      <c r="D22" s="630"/>
      <c r="E22" s="630"/>
      <c r="F22" s="630"/>
      <c r="G22" s="630"/>
      <c r="H22" s="630"/>
      <c r="I22" s="630"/>
      <c r="J22" s="622">
        <f>SUM(J18:J21)</f>
        <v>0</v>
      </c>
      <c r="K22" s="623"/>
      <c r="L22" s="624"/>
    </row>
    <row r="23" spans="1:12" ht="30" customHeight="1" x14ac:dyDescent="0.25">
      <c r="A23" s="521" t="s">
        <v>174</v>
      </c>
      <c r="B23" s="625"/>
      <c r="C23" s="625"/>
      <c r="D23" s="625"/>
      <c r="E23" s="625"/>
      <c r="F23" s="625"/>
      <c r="G23" s="625"/>
      <c r="H23" s="625"/>
      <c r="I23" s="625"/>
      <c r="J23" s="621" t="s">
        <v>165</v>
      </c>
      <c r="K23" s="621"/>
      <c r="L23" s="621"/>
    </row>
    <row r="24" spans="1:12" ht="20.100000000000001" customHeight="1" x14ac:dyDescent="0.25">
      <c r="A24" s="525" t="s">
        <v>175</v>
      </c>
      <c r="B24" s="526"/>
      <c r="C24" s="526"/>
      <c r="D24" s="526"/>
      <c r="E24" s="526"/>
      <c r="F24" s="526"/>
      <c r="G24" s="526"/>
      <c r="H24" s="526"/>
      <c r="I24" s="526"/>
      <c r="J24" s="616">
        <f>COUNTIFS('CLIENT ENROLLMENT DISCHARGE '!F15:F5000,"&gt;=18",'CLIENT ENROLLMENT DISCHARGE '!F15:F5000,"&lt;=20")</f>
        <v>0</v>
      </c>
      <c r="K24" s="617"/>
      <c r="L24" s="618"/>
    </row>
    <row r="25" spans="1:12" ht="20.100000000000001" customHeight="1" x14ac:dyDescent="0.25">
      <c r="A25" s="525" t="s">
        <v>176</v>
      </c>
      <c r="B25" s="526"/>
      <c r="C25" s="526"/>
      <c r="D25" s="526"/>
      <c r="E25" s="526"/>
      <c r="F25" s="526"/>
      <c r="G25" s="526"/>
      <c r="H25" s="526"/>
      <c r="I25" s="526"/>
      <c r="J25" s="616">
        <f>COUNTIFS('CLIENT ENROLLMENT DISCHARGE '!F15:F5000,"&gt;=21",'CLIENT ENROLLMENT DISCHARGE '!F15:F5000,"&lt;=24")</f>
        <v>0</v>
      </c>
      <c r="K25" s="617"/>
      <c r="L25" s="618"/>
    </row>
    <row r="26" spans="1:12" ht="20.100000000000001" customHeight="1" x14ac:dyDescent="0.25">
      <c r="A26" s="525" t="s">
        <v>177</v>
      </c>
      <c r="B26" s="526"/>
      <c r="C26" s="526"/>
      <c r="D26" s="526"/>
      <c r="E26" s="526"/>
      <c r="F26" s="526"/>
      <c r="G26" s="526"/>
      <c r="H26" s="526"/>
      <c r="I26" s="526"/>
      <c r="J26" s="616">
        <f>COUNTIFS('CLIENT ENROLLMENT DISCHARGE '!F15:F5000,"&gt;=25",'CLIENT ENROLLMENT DISCHARGE '!F15:F5000,"&lt;=44")</f>
        <v>0</v>
      </c>
      <c r="K26" s="617"/>
      <c r="L26" s="618"/>
    </row>
    <row r="27" spans="1:12" ht="20.100000000000001" customHeight="1" x14ac:dyDescent="0.25">
      <c r="A27" s="525" t="s">
        <v>178</v>
      </c>
      <c r="B27" s="526"/>
      <c r="C27" s="526"/>
      <c r="D27" s="526"/>
      <c r="E27" s="526"/>
      <c r="F27" s="526"/>
      <c r="G27" s="526"/>
      <c r="H27" s="526"/>
      <c r="I27" s="526"/>
      <c r="J27" s="616">
        <f>COUNTIFS('CLIENT ENROLLMENT DISCHARGE '!F15:F5000,"&gt;=45",'CLIENT ENROLLMENT DISCHARGE '!F15:F5000,"&lt;=64")</f>
        <v>0</v>
      </c>
      <c r="K27" s="617"/>
      <c r="L27" s="618"/>
    </row>
    <row r="28" spans="1:12" ht="20.100000000000001" customHeight="1" x14ac:dyDescent="0.25">
      <c r="A28" s="525" t="s">
        <v>179</v>
      </c>
      <c r="B28" s="526"/>
      <c r="C28" s="526"/>
      <c r="D28" s="526"/>
      <c r="E28" s="526"/>
      <c r="F28" s="526"/>
      <c r="G28" s="526"/>
      <c r="H28" s="526"/>
      <c r="I28" s="526"/>
      <c r="J28" s="616">
        <f>COUNTIFS('CLIENT ENROLLMENT DISCHARGE '!F15:F5000,"&gt;=65",'CLIENT ENROLLMENT DISCHARGE '!F15:F5000,"&lt;=74")</f>
        <v>0</v>
      </c>
      <c r="K28" s="617"/>
      <c r="L28" s="618"/>
    </row>
    <row r="29" spans="1:12" ht="20.100000000000001" customHeight="1" x14ac:dyDescent="0.25">
      <c r="A29" s="525" t="s">
        <v>180</v>
      </c>
      <c r="B29" s="526"/>
      <c r="C29" s="526"/>
      <c r="D29" s="526"/>
      <c r="E29" s="526"/>
      <c r="F29" s="526"/>
      <c r="G29" s="526"/>
      <c r="H29" s="526"/>
      <c r="I29" s="526"/>
      <c r="J29" s="616">
        <f>COUNTIFS('CLIENT ENROLLMENT DISCHARGE '!F15:F5000,"&gt;=75",'CLIENT ENROLLMENT DISCHARGE '!F15:F5000,"&lt;=150")</f>
        <v>0</v>
      </c>
      <c r="K29" s="617"/>
      <c r="L29" s="618"/>
    </row>
    <row r="30" spans="1:12" ht="30" customHeight="1" x14ac:dyDescent="0.25">
      <c r="A30" s="619" t="s">
        <v>181</v>
      </c>
      <c r="B30" s="620"/>
      <c r="C30" s="620"/>
      <c r="D30" s="620"/>
      <c r="E30" s="620"/>
      <c r="F30" s="620"/>
      <c r="G30" s="620"/>
      <c r="H30" s="620"/>
      <c r="I30" s="620"/>
      <c r="J30" s="611">
        <f>SUM(J24:J29)</f>
        <v>0</v>
      </c>
      <c r="K30" s="612"/>
      <c r="L30" s="613"/>
    </row>
    <row r="31" spans="1:12" ht="30" customHeight="1" x14ac:dyDescent="0.25">
      <c r="A31" s="614" t="s">
        <v>113</v>
      </c>
      <c r="B31" s="615"/>
      <c r="C31" s="615"/>
      <c r="D31" s="615"/>
      <c r="E31" s="615"/>
      <c r="F31" s="615"/>
      <c r="G31" s="615"/>
      <c r="H31" s="615"/>
      <c r="I31" s="615"/>
      <c r="J31" s="610" t="s">
        <v>165</v>
      </c>
      <c r="K31" s="610"/>
      <c r="L31" s="610"/>
    </row>
    <row r="32" spans="1:12" ht="20.100000000000001" customHeight="1" x14ac:dyDescent="0.25">
      <c r="A32" s="507" t="s">
        <v>128</v>
      </c>
      <c r="B32" s="508"/>
      <c r="C32" s="508"/>
      <c r="D32" s="508"/>
      <c r="E32" s="508"/>
      <c r="F32" s="508"/>
      <c r="G32" s="508"/>
      <c r="H32" s="508"/>
      <c r="I32" s="508"/>
      <c r="J32" s="529">
        <f>COUNTIFS('CLIENT ENROLLMENT DISCHARGE '!G15:G5000,"Male")</f>
        <v>0</v>
      </c>
      <c r="K32" s="607"/>
      <c r="L32" s="530"/>
    </row>
    <row r="33" spans="1:12" ht="20.100000000000001" customHeight="1" x14ac:dyDescent="0.25">
      <c r="A33" s="507" t="s">
        <v>129</v>
      </c>
      <c r="B33" s="508"/>
      <c r="C33" s="508"/>
      <c r="D33" s="508"/>
      <c r="E33" s="508"/>
      <c r="F33" s="508"/>
      <c r="G33" s="508"/>
      <c r="H33" s="508"/>
      <c r="I33" s="508"/>
      <c r="J33" s="529">
        <f>COUNTIFS('CLIENT ENROLLMENT DISCHARGE '!G15:G5000,"Female")</f>
        <v>0</v>
      </c>
      <c r="K33" s="607"/>
      <c r="L33" s="530"/>
    </row>
    <row r="34" spans="1:12" ht="30" customHeight="1" x14ac:dyDescent="0.3">
      <c r="A34" s="608" t="s">
        <v>182</v>
      </c>
      <c r="B34" s="609"/>
      <c r="C34" s="609"/>
      <c r="D34" s="609"/>
      <c r="E34" s="609"/>
      <c r="F34" s="609"/>
      <c r="G34" s="609"/>
      <c r="H34" s="609"/>
      <c r="I34" s="609"/>
      <c r="J34" s="602">
        <f>SUM(J32:J33)</f>
        <v>0</v>
      </c>
      <c r="K34" s="603"/>
      <c r="L34" s="604"/>
    </row>
    <row r="35" spans="1:12" ht="30" customHeight="1" x14ac:dyDescent="0.25">
      <c r="A35" s="605" t="s">
        <v>114</v>
      </c>
      <c r="B35" s="606"/>
      <c r="C35" s="606"/>
      <c r="D35" s="606"/>
      <c r="E35" s="606"/>
      <c r="F35" s="606"/>
      <c r="G35" s="606"/>
      <c r="H35" s="606"/>
      <c r="I35" s="606"/>
      <c r="J35" s="601" t="s">
        <v>165</v>
      </c>
      <c r="K35" s="601"/>
      <c r="L35" s="601"/>
    </row>
    <row r="36" spans="1:12" ht="20.100000000000001" customHeight="1" x14ac:dyDescent="0.25">
      <c r="A36" s="595" t="s">
        <v>62</v>
      </c>
      <c r="B36" s="596"/>
      <c r="C36" s="596"/>
      <c r="D36" s="596"/>
      <c r="E36" s="596"/>
      <c r="F36" s="596"/>
      <c r="G36" s="596"/>
      <c r="H36" s="596"/>
      <c r="I36" s="597"/>
      <c r="J36" s="598">
        <f>COUNTIFS('CLIENT ENROLLMENT DISCHARGE '!H15:H5000,"White")</f>
        <v>0</v>
      </c>
      <c r="K36" s="599"/>
      <c r="L36" s="600"/>
    </row>
    <row r="37" spans="1:12" ht="20.100000000000001" customHeight="1" x14ac:dyDescent="0.25">
      <c r="A37" s="595" t="s">
        <v>50</v>
      </c>
      <c r="B37" s="596"/>
      <c r="C37" s="596"/>
      <c r="D37" s="596"/>
      <c r="E37" s="596"/>
      <c r="F37" s="596"/>
      <c r="G37" s="596"/>
      <c r="H37" s="596"/>
      <c r="I37" s="597"/>
      <c r="J37" s="592">
        <f>COUNTIFS('CLIENT ENROLLMENT DISCHARGE '!H15:H5000,"African American/ Black")</f>
        <v>0</v>
      </c>
      <c r="K37" s="593"/>
      <c r="L37" s="594"/>
    </row>
    <row r="38" spans="1:12" ht="20.100000000000001" customHeight="1" x14ac:dyDescent="0.25">
      <c r="A38" s="595" t="s">
        <v>131</v>
      </c>
      <c r="B38" s="596"/>
      <c r="C38" s="596"/>
      <c r="D38" s="596"/>
      <c r="E38" s="596"/>
      <c r="F38" s="596"/>
      <c r="G38" s="596"/>
      <c r="H38" s="596"/>
      <c r="I38" s="597"/>
      <c r="J38" s="592">
        <f>COUNTIFS('CLIENT ENROLLMENT DISCHARGE '!H15:H5000,"More than one race reported")</f>
        <v>0</v>
      </c>
      <c r="K38" s="593"/>
      <c r="L38" s="594"/>
    </row>
    <row r="39" spans="1:12" ht="20.100000000000001" customHeight="1" x14ac:dyDescent="0.25">
      <c r="A39" s="595" t="s">
        <v>130</v>
      </c>
      <c r="B39" s="596"/>
      <c r="C39" s="596"/>
      <c r="D39" s="596"/>
      <c r="E39" s="596"/>
      <c r="F39" s="596"/>
      <c r="G39" s="596"/>
      <c r="H39" s="596"/>
      <c r="I39" s="597"/>
      <c r="J39" s="592">
        <f>COUNTIFS('CLIENT ENROLLMENT DISCHARGE '!H15:H5000,"American Indian / Alaska Native")</f>
        <v>0</v>
      </c>
      <c r="K39" s="593"/>
      <c r="L39" s="594"/>
    </row>
    <row r="40" spans="1:12" ht="20.100000000000001" customHeight="1" x14ac:dyDescent="0.25">
      <c r="A40" s="595" t="s">
        <v>58</v>
      </c>
      <c r="B40" s="596"/>
      <c r="C40" s="596"/>
      <c r="D40" s="596"/>
      <c r="E40" s="596"/>
      <c r="F40" s="596"/>
      <c r="G40" s="596"/>
      <c r="H40" s="596"/>
      <c r="I40" s="597"/>
      <c r="J40" s="592">
        <f>COUNTIFS('CLIENT ENROLLMENT DISCHARGE '!H15:H5000,"Asian")</f>
        <v>0</v>
      </c>
      <c r="K40" s="593"/>
      <c r="L40" s="594"/>
    </row>
    <row r="41" spans="1:12" ht="20.100000000000001" customHeight="1" x14ac:dyDescent="0.25">
      <c r="A41" s="595" t="s">
        <v>132</v>
      </c>
      <c r="B41" s="596"/>
      <c r="C41" s="596"/>
      <c r="D41" s="596"/>
      <c r="E41" s="596"/>
      <c r="F41" s="596"/>
      <c r="G41" s="596"/>
      <c r="H41" s="596"/>
      <c r="I41" s="597"/>
      <c r="J41" s="592">
        <f>COUNTIFS('CLIENT ENROLLMENT DISCHARGE '!H15:H5000,"Native Hawaiian / Other Pacific Islander")</f>
        <v>0</v>
      </c>
      <c r="K41" s="593"/>
      <c r="L41" s="594"/>
    </row>
    <row r="42" spans="1:12" ht="20.100000000000001" customHeight="1" x14ac:dyDescent="0.25">
      <c r="A42" s="595" t="s">
        <v>64</v>
      </c>
      <c r="B42" s="596"/>
      <c r="C42" s="596"/>
      <c r="D42" s="596"/>
      <c r="E42" s="596"/>
      <c r="F42" s="596"/>
      <c r="G42" s="596"/>
      <c r="H42" s="596"/>
      <c r="I42" s="597"/>
      <c r="J42" s="592">
        <f>COUNTIFS('CLIENT ENROLLMENT DISCHARGE '!H15:H5000,"Unknown")</f>
        <v>0</v>
      </c>
      <c r="K42" s="593"/>
      <c r="L42" s="594"/>
    </row>
    <row r="43" spans="1:12" ht="30" customHeight="1" x14ac:dyDescent="0.25">
      <c r="A43" s="545" t="s">
        <v>183</v>
      </c>
      <c r="B43" s="546"/>
      <c r="C43" s="546"/>
      <c r="D43" s="546"/>
      <c r="E43" s="546"/>
      <c r="F43" s="546"/>
      <c r="G43" s="546"/>
      <c r="H43" s="546"/>
      <c r="I43" s="546"/>
      <c r="J43" s="589">
        <f>SUM(J36:J42)</f>
        <v>0</v>
      </c>
      <c r="K43" s="590"/>
      <c r="L43" s="591"/>
    </row>
    <row r="44" spans="1:12" ht="30" customHeight="1" x14ac:dyDescent="0.25">
      <c r="A44" s="587" t="s">
        <v>184</v>
      </c>
      <c r="B44" s="588"/>
      <c r="C44" s="588"/>
      <c r="D44" s="588"/>
      <c r="E44" s="588"/>
      <c r="F44" s="588"/>
      <c r="G44" s="588"/>
      <c r="H44" s="588"/>
      <c r="I44" s="588"/>
      <c r="J44" s="586" t="s">
        <v>165</v>
      </c>
      <c r="K44" s="586"/>
      <c r="L44" s="586"/>
    </row>
    <row r="45" spans="1:12" ht="20.100000000000001" customHeight="1" x14ac:dyDescent="0.25">
      <c r="A45" s="533" t="s">
        <v>56</v>
      </c>
      <c r="B45" s="534"/>
      <c r="C45" s="534"/>
      <c r="D45" s="534"/>
      <c r="E45" s="534"/>
      <c r="F45" s="534"/>
      <c r="G45" s="534"/>
      <c r="H45" s="534"/>
      <c r="I45" s="534"/>
      <c r="J45" s="583">
        <f>COUNTIFS('CLIENT ENROLLMENT DISCHARGE '!I15:I5000,"Not Hispanic or Latino")</f>
        <v>0</v>
      </c>
      <c r="K45" s="584"/>
      <c r="L45" s="585"/>
    </row>
    <row r="46" spans="1:12" ht="20.100000000000001" customHeight="1" x14ac:dyDescent="0.25">
      <c r="A46" s="533" t="s">
        <v>185</v>
      </c>
      <c r="B46" s="534"/>
      <c r="C46" s="534"/>
      <c r="D46" s="534"/>
      <c r="E46" s="534"/>
      <c r="F46" s="534"/>
      <c r="G46" s="534"/>
      <c r="H46" s="534"/>
      <c r="I46" s="534"/>
      <c r="J46" s="583">
        <f>COUNTIFS('CLIENT ENROLLMENT DISCHARGE '!I15:I5000,"Hispanic/ Latino ")</f>
        <v>0</v>
      </c>
      <c r="K46" s="584"/>
      <c r="L46" s="585"/>
    </row>
    <row r="47" spans="1:12" ht="20.100000000000001" customHeight="1" x14ac:dyDescent="0.25">
      <c r="A47" s="533" t="s">
        <v>64</v>
      </c>
      <c r="B47" s="534"/>
      <c r="C47" s="534"/>
      <c r="D47" s="534"/>
      <c r="E47" s="534"/>
      <c r="F47" s="534"/>
      <c r="G47" s="534"/>
      <c r="H47" s="534"/>
      <c r="I47" s="534"/>
      <c r="J47" s="583">
        <f>COUNTIFS('CLIENT ENROLLMENT DISCHARGE '!I15:I5000,"Unknown")</f>
        <v>0</v>
      </c>
      <c r="K47" s="584"/>
      <c r="L47" s="585"/>
    </row>
    <row r="48" spans="1:12" ht="30" customHeight="1" x14ac:dyDescent="0.3">
      <c r="A48" s="581" t="s">
        <v>186</v>
      </c>
      <c r="B48" s="582"/>
      <c r="C48" s="582"/>
      <c r="D48" s="582"/>
      <c r="E48" s="582"/>
      <c r="F48" s="582"/>
      <c r="G48" s="582"/>
      <c r="H48" s="582"/>
      <c r="I48" s="582"/>
      <c r="J48" s="576">
        <f>SUM(J45:J47)</f>
        <v>0</v>
      </c>
      <c r="K48" s="577"/>
      <c r="L48" s="578"/>
    </row>
    <row r="49" spans="1:24" ht="30" customHeight="1" x14ac:dyDescent="0.25">
      <c r="A49" s="579" t="s">
        <v>187</v>
      </c>
      <c r="B49" s="580"/>
      <c r="C49" s="580"/>
      <c r="D49" s="580"/>
      <c r="E49" s="580"/>
      <c r="F49" s="580"/>
      <c r="G49" s="580"/>
      <c r="H49" s="580"/>
      <c r="I49" s="580"/>
      <c r="J49" s="575" t="s">
        <v>165</v>
      </c>
      <c r="K49" s="575"/>
      <c r="L49" s="575"/>
    </row>
    <row r="50" spans="1:24" ht="20.100000000000001" customHeight="1" x14ac:dyDescent="0.25">
      <c r="A50" s="567" t="s">
        <v>48</v>
      </c>
      <c r="B50" s="568"/>
      <c r="C50" s="568"/>
      <c r="D50" s="568"/>
      <c r="E50" s="568"/>
      <c r="F50" s="568"/>
      <c r="G50" s="568"/>
      <c r="H50" s="568"/>
      <c r="I50" s="568"/>
      <c r="J50" s="562">
        <f>COUNTIFS('CLIENT ENROLLMENT DISCHARGE '!J15:J5000,"DRS")</f>
        <v>0</v>
      </c>
      <c r="K50" s="563"/>
      <c r="L50" s="564"/>
    </row>
    <row r="51" spans="1:24" ht="20.100000000000001" customHeight="1" x14ac:dyDescent="0.25">
      <c r="A51" s="567" t="s">
        <v>53</v>
      </c>
      <c r="B51" s="568"/>
      <c r="C51" s="568"/>
      <c r="D51" s="568"/>
      <c r="E51" s="568"/>
      <c r="F51" s="568"/>
      <c r="G51" s="568"/>
      <c r="H51" s="568"/>
      <c r="I51" s="568"/>
      <c r="J51" s="562">
        <f>COUNTIFS('CLIENT ENROLLMENT DISCHARGE '!J15:J5000,"Waiver")</f>
        <v>0</v>
      </c>
      <c r="K51" s="563"/>
      <c r="L51" s="564"/>
    </row>
    <row r="52" spans="1:24" ht="20.100000000000001" customHeight="1" x14ac:dyDescent="0.25">
      <c r="A52" s="567" t="s">
        <v>188</v>
      </c>
      <c r="B52" s="568"/>
      <c r="C52" s="568"/>
      <c r="D52" s="568"/>
      <c r="E52" s="568"/>
      <c r="F52" s="568"/>
      <c r="G52" s="568"/>
      <c r="H52" s="568"/>
      <c r="I52" s="568"/>
      <c r="J52" s="562">
        <f>COUNTIFS('CLIENT ENROLLMENT DISCHARGE '!J15:J5000,"Other")</f>
        <v>0</v>
      </c>
      <c r="K52" s="563"/>
      <c r="L52" s="564"/>
    </row>
    <row r="53" spans="1:24" ht="30" customHeight="1" x14ac:dyDescent="0.3">
      <c r="A53" s="565" t="s">
        <v>189</v>
      </c>
      <c r="B53" s="566"/>
      <c r="C53" s="566"/>
      <c r="D53" s="566"/>
      <c r="E53" s="566"/>
      <c r="F53" s="566"/>
      <c r="G53" s="566"/>
      <c r="H53" s="566"/>
      <c r="I53" s="566"/>
      <c r="J53" s="557">
        <f>SUM(J50:J52)</f>
        <v>0</v>
      </c>
      <c r="K53" s="558"/>
      <c r="L53" s="559"/>
    </row>
    <row r="54" spans="1:24" ht="30" customHeight="1" x14ac:dyDescent="0.25">
      <c r="A54" s="657" t="s">
        <v>357</v>
      </c>
      <c r="B54" s="657"/>
      <c r="C54" s="657"/>
      <c r="D54" s="657"/>
      <c r="E54" s="657"/>
      <c r="F54" s="657"/>
      <c r="G54" s="657"/>
      <c r="H54" s="657"/>
      <c r="I54" s="657"/>
      <c r="J54" s="657"/>
      <c r="K54" s="657"/>
      <c r="L54" s="657"/>
      <c r="M54" s="657"/>
      <c r="N54" s="657"/>
      <c r="O54" s="657"/>
      <c r="P54" s="657"/>
      <c r="Q54" s="657"/>
      <c r="R54" s="657"/>
      <c r="S54" s="657"/>
      <c r="T54" s="657"/>
      <c r="U54" s="657"/>
      <c r="V54" s="657"/>
      <c r="W54" s="657"/>
      <c r="X54" s="657"/>
    </row>
    <row r="55" spans="1:24" ht="60" customHeight="1" x14ac:dyDescent="0.25">
      <c r="A55" s="560" t="s">
        <v>356</v>
      </c>
      <c r="B55" s="561"/>
      <c r="C55" s="561"/>
      <c r="D55" s="561"/>
      <c r="E55" s="561"/>
      <c r="F55" s="561"/>
      <c r="G55" s="561"/>
      <c r="H55" s="561"/>
      <c r="I55" s="561"/>
      <c r="J55" s="658"/>
      <c r="K55" s="659"/>
      <c r="L55" s="226" t="s">
        <v>153</v>
      </c>
      <c r="M55" s="226" t="s">
        <v>154</v>
      </c>
      <c r="N55" s="226" t="s">
        <v>155</v>
      </c>
      <c r="O55" s="226" t="s">
        <v>156</v>
      </c>
      <c r="P55" s="226" t="s">
        <v>157</v>
      </c>
      <c r="Q55" s="226" t="s">
        <v>158</v>
      </c>
      <c r="R55" s="226" t="s">
        <v>159</v>
      </c>
      <c r="S55" s="226" t="s">
        <v>160</v>
      </c>
      <c r="T55" s="226" t="s">
        <v>161</v>
      </c>
      <c r="U55" s="226" t="s">
        <v>162</v>
      </c>
      <c r="V55" s="226" t="s">
        <v>163</v>
      </c>
      <c r="W55" s="226" t="s">
        <v>164</v>
      </c>
      <c r="X55" s="244" t="s">
        <v>355</v>
      </c>
    </row>
    <row r="56" spans="1:24" ht="50.1" customHeight="1" x14ac:dyDescent="0.25">
      <c r="A56" s="571" t="s">
        <v>213</v>
      </c>
      <c r="B56" s="572"/>
      <c r="C56" s="572"/>
      <c r="D56" s="572"/>
      <c r="E56" s="572"/>
      <c r="F56" s="572"/>
      <c r="G56" s="572"/>
      <c r="H56" s="572"/>
      <c r="I56" s="572"/>
      <c r="J56" s="516"/>
      <c r="K56" s="517"/>
      <c r="L56" s="227">
        <f>COUNTIFS(JULY!E16:E5001,"YES")</f>
        <v>0</v>
      </c>
      <c r="M56" s="227">
        <f>COUNTIFS(AUG!E15:E5000,"YES")</f>
        <v>0</v>
      </c>
      <c r="N56" s="227">
        <f>COUNTIFS(SEPT!E15:E5000,"YES")</f>
        <v>0</v>
      </c>
      <c r="O56" s="227">
        <f>COUNTIFS(OCT!E15:E5000,"YES")</f>
        <v>0</v>
      </c>
      <c r="P56" s="227">
        <f>COUNTIFS(NOV!E15:E5000,"YES")</f>
        <v>0</v>
      </c>
      <c r="Q56" s="227">
        <f>COUNTIFS(DEC!E15:E5000,"YES")</f>
        <v>0</v>
      </c>
      <c r="R56" s="228">
        <f>COUNTIFS(JAN!E15:E5000,"YES")</f>
        <v>0</v>
      </c>
      <c r="S56" s="228">
        <f>COUNTIFS(FEB!E15:E5000,"YES")</f>
        <v>0</v>
      </c>
      <c r="T56" s="228">
        <f>COUNTIFS(MAR!E15:E5000,"YES")</f>
        <v>0</v>
      </c>
      <c r="U56" s="228">
        <f>COUNTIFS(APR!E15:E5000,"YES")</f>
        <v>0</v>
      </c>
      <c r="V56" s="228">
        <f>COUNTIFS(MAY!E15:E5000,"YES")</f>
        <v>0</v>
      </c>
      <c r="W56" s="228">
        <f>COUNTIFS(JUNE!E15:E5000,"YES")</f>
        <v>0</v>
      </c>
      <c r="X56" s="245">
        <f>SUM(J56:W56)/12</f>
        <v>0</v>
      </c>
    </row>
    <row r="57" spans="1:24" ht="50.1" customHeight="1" x14ac:dyDescent="0.25">
      <c r="A57" s="571" t="s">
        <v>214</v>
      </c>
      <c r="B57" s="572"/>
      <c r="C57" s="572"/>
      <c r="D57" s="572"/>
      <c r="E57" s="572"/>
      <c r="F57" s="572"/>
      <c r="G57" s="572"/>
      <c r="H57" s="572"/>
      <c r="I57" s="572"/>
      <c r="J57" s="516"/>
      <c r="K57" s="517"/>
      <c r="L57" s="227">
        <f>COUNTIFS(JULY!E16:E5001,"NO")</f>
        <v>0</v>
      </c>
      <c r="M57" s="227">
        <f>COUNTIFS(AUG!E15:E5000,"NO")</f>
        <v>0</v>
      </c>
      <c r="N57" s="227">
        <f>COUNTIFS(SEPT!E15:E5000,"NO")</f>
        <v>0</v>
      </c>
      <c r="O57" s="227">
        <f>COUNTIFS(OCT!E15:E5000,"NO")</f>
        <v>0</v>
      </c>
      <c r="P57" s="227">
        <f>COUNTIFS(NOV!E15:E5000,"NO")</f>
        <v>0</v>
      </c>
      <c r="Q57" s="227">
        <f>COUNTIFS(DEC!E15:E5000,"NO")</f>
        <v>0</v>
      </c>
      <c r="R57" s="228">
        <f>COUNTIFS(JAN!E15:E5000,"NO")</f>
        <v>0</v>
      </c>
      <c r="S57" s="228">
        <f>COUNTIFS(FEB!E15:E5000,"NO")</f>
        <v>0</v>
      </c>
      <c r="T57" s="228">
        <f>COUNTIFS(MAR!E15:E5000,"NO")</f>
        <v>0</v>
      </c>
      <c r="U57" s="228">
        <f>COUNTIFS(APR!E15:E5000,"NO")</f>
        <v>0</v>
      </c>
      <c r="V57" s="228">
        <f>COUNTIFS(MAY!E15:E5000,"NO")</f>
        <v>0</v>
      </c>
      <c r="W57" s="228">
        <f>COUNTIFS(JUNE!E15:E5000,"NO")</f>
        <v>0</v>
      </c>
      <c r="X57" s="245">
        <f>SUM(J57:W57)/12</f>
        <v>0</v>
      </c>
    </row>
    <row r="58" spans="1:24" ht="39.950000000000003" customHeight="1" x14ac:dyDescent="0.25">
      <c r="A58" s="525" t="s">
        <v>215</v>
      </c>
      <c r="B58" s="526"/>
      <c r="C58" s="526"/>
      <c r="D58" s="526"/>
      <c r="E58" s="526"/>
      <c r="F58" s="526"/>
      <c r="G58" s="526"/>
      <c r="H58" s="526"/>
      <c r="I58" s="526"/>
      <c r="J58" s="516"/>
      <c r="K58" s="517"/>
      <c r="L58" s="227">
        <f>COUNTIFS(JULY!F16:F5001,"YES")</f>
        <v>0</v>
      </c>
      <c r="M58" s="227">
        <f>COUNTIFS(AUG!F15:F5000,"YES")</f>
        <v>0</v>
      </c>
      <c r="N58" s="227">
        <f>COUNTIFS(SEPT!F15:F5000,"YES")</f>
        <v>0</v>
      </c>
      <c r="O58" s="227">
        <f>COUNTIFS(OCT!F15:F5000,"YES")</f>
        <v>0</v>
      </c>
      <c r="P58" s="227">
        <f>COUNTIFS(NOV!F15:F5000,"YES")</f>
        <v>0</v>
      </c>
      <c r="Q58" s="227">
        <f>COUNTIFS(DEC!F15:F5000,"YES")</f>
        <v>0</v>
      </c>
      <c r="R58" s="228">
        <f>COUNTIFS(JAN!F15:F5000,"YES")</f>
        <v>0</v>
      </c>
      <c r="S58" s="228">
        <f>COUNTIFS(FEB!F15:F5000,"YES")</f>
        <v>0</v>
      </c>
      <c r="T58" s="228">
        <f>COUNTIFS(MAR!F15:EF5000,"YES")</f>
        <v>0</v>
      </c>
      <c r="U58" s="228">
        <f>COUNTIFS(APR!F15:F5000,"YES")</f>
        <v>0</v>
      </c>
      <c r="V58" s="228">
        <f>COUNTIFS(MAY!F15:F5000,"YES")</f>
        <v>0</v>
      </c>
      <c r="W58" s="228">
        <f>COUNTIFS(JUNE!F15:F5000,"YES")</f>
        <v>0</v>
      </c>
      <c r="X58" s="245">
        <f>SUM(J58:W58)/12</f>
        <v>0</v>
      </c>
    </row>
    <row r="59" spans="1:24" ht="39.950000000000003" customHeight="1" x14ac:dyDescent="0.25">
      <c r="A59" s="525" t="s">
        <v>216</v>
      </c>
      <c r="B59" s="526"/>
      <c r="C59" s="526"/>
      <c r="D59" s="526"/>
      <c r="E59" s="526"/>
      <c r="F59" s="526"/>
      <c r="G59" s="526"/>
      <c r="H59" s="526"/>
      <c r="I59" s="526"/>
      <c r="J59" s="149"/>
      <c r="K59" s="150"/>
      <c r="L59" s="227">
        <f>COUNTIFS(JULY!F16:F5001,"NO")</f>
        <v>0</v>
      </c>
      <c r="M59" s="227">
        <f>COUNTIFS(AUG!F15:F5000,"NO")</f>
        <v>0</v>
      </c>
      <c r="N59" s="227">
        <f>COUNTIFS(SEPT!F15:F5000,"NO")</f>
        <v>0</v>
      </c>
      <c r="O59" s="227">
        <f>COUNTIFS(OCT!F15:F5000,"NO")</f>
        <v>0</v>
      </c>
      <c r="P59" s="227">
        <f>COUNTIFS(NOV!F15:F5000,"NO")</f>
        <v>0</v>
      </c>
      <c r="Q59" s="227">
        <f>COUNTIFS(DEC!F15:F5000,"NO")</f>
        <v>0</v>
      </c>
      <c r="R59" s="228">
        <f>COUNTIFS(JAN!F15:F5000,"NO")</f>
        <v>0</v>
      </c>
      <c r="S59" s="228">
        <f>COUNTIFS(FEB!F15:F5000,"NO")</f>
        <v>0</v>
      </c>
      <c r="T59" s="228">
        <f>COUNTIFS(MAR!F15:F5000,"NO")</f>
        <v>0</v>
      </c>
      <c r="U59" s="228">
        <f>COUNTIFS(APR!F15:F5000,"NO")</f>
        <v>0</v>
      </c>
      <c r="V59" s="228">
        <f>COUNTIFS(MAY!F15:F5000,"NO")</f>
        <v>0</v>
      </c>
      <c r="W59" s="228">
        <f>COUNTIFS(JUNE!F15:F5000,"NO")</f>
        <v>0</v>
      </c>
      <c r="X59" s="245">
        <f>SUM(J59:W59)/12</f>
        <v>0</v>
      </c>
    </row>
    <row r="60" spans="1:24" ht="39.950000000000003" customHeight="1" x14ac:dyDescent="0.25">
      <c r="A60" s="569" t="s">
        <v>192</v>
      </c>
      <c r="B60" s="570"/>
      <c r="C60" s="570"/>
      <c r="D60" s="570"/>
      <c r="E60" s="570"/>
      <c r="F60" s="570"/>
      <c r="G60" s="570"/>
      <c r="H60" s="570"/>
      <c r="I60" s="570"/>
      <c r="J60" s="573">
        <f>SUM(J56:J58)</f>
        <v>0</v>
      </c>
      <c r="K60" s="574"/>
      <c r="L60" s="229">
        <f t="shared" ref="L60:W60" si="0">L56+L58</f>
        <v>0</v>
      </c>
      <c r="M60" s="229">
        <f t="shared" si="0"/>
        <v>0</v>
      </c>
      <c r="N60" s="229">
        <f t="shared" si="0"/>
        <v>0</v>
      </c>
      <c r="O60" s="229">
        <f t="shared" si="0"/>
        <v>0</v>
      </c>
      <c r="P60" s="229">
        <f t="shared" si="0"/>
        <v>0</v>
      </c>
      <c r="Q60" s="229">
        <f t="shared" si="0"/>
        <v>0</v>
      </c>
      <c r="R60" s="229">
        <f t="shared" si="0"/>
        <v>0</v>
      </c>
      <c r="S60" s="229">
        <f t="shared" si="0"/>
        <v>0</v>
      </c>
      <c r="T60" s="229">
        <f t="shared" si="0"/>
        <v>0</v>
      </c>
      <c r="U60" s="229">
        <f t="shared" si="0"/>
        <v>0</v>
      </c>
      <c r="V60" s="229">
        <f t="shared" si="0"/>
        <v>0</v>
      </c>
      <c r="W60" s="229">
        <f t="shared" si="0"/>
        <v>0</v>
      </c>
      <c r="X60" s="246">
        <f>SUM(J60:W60)/12</f>
        <v>0</v>
      </c>
    </row>
    <row r="61" spans="1:24" ht="15" customHeight="1" x14ac:dyDescent="0.25">
      <c r="A61" s="230"/>
      <c r="B61" s="231"/>
      <c r="C61" s="231"/>
      <c r="D61" s="231"/>
      <c r="E61" s="231"/>
      <c r="F61" s="231"/>
      <c r="G61" s="231"/>
      <c r="H61" s="231"/>
      <c r="I61" s="231"/>
      <c r="J61" s="203"/>
      <c r="K61" s="204"/>
      <c r="L61" s="232"/>
      <c r="M61" s="232"/>
      <c r="N61" s="232"/>
      <c r="O61" s="232"/>
      <c r="P61" s="232"/>
      <c r="Q61" s="232"/>
      <c r="R61" s="232"/>
      <c r="S61" s="232"/>
      <c r="T61" s="232"/>
      <c r="U61" s="232"/>
      <c r="V61" s="232"/>
      <c r="W61" s="232"/>
      <c r="X61" s="247"/>
    </row>
    <row r="62" spans="1:24" ht="30" customHeight="1" x14ac:dyDescent="0.25">
      <c r="A62" s="662" t="s">
        <v>19</v>
      </c>
      <c r="B62" s="663"/>
      <c r="C62" s="663"/>
      <c r="D62" s="663"/>
      <c r="E62" s="663"/>
      <c r="F62" s="663"/>
      <c r="G62" s="663"/>
      <c r="H62" s="663"/>
      <c r="I62" s="663"/>
      <c r="J62" s="519"/>
      <c r="K62" s="520"/>
      <c r="L62" s="198" t="s">
        <v>153</v>
      </c>
      <c r="M62" s="198" t="s">
        <v>154</v>
      </c>
      <c r="N62" s="198" t="s">
        <v>155</v>
      </c>
      <c r="O62" s="198" t="s">
        <v>156</v>
      </c>
      <c r="P62" s="198" t="s">
        <v>157</v>
      </c>
      <c r="Q62" s="198" t="s">
        <v>158</v>
      </c>
      <c r="R62" s="198" t="s">
        <v>159</v>
      </c>
      <c r="S62" s="198" t="s">
        <v>160</v>
      </c>
      <c r="T62" s="198" t="s">
        <v>161</v>
      </c>
      <c r="U62" s="198" t="s">
        <v>162</v>
      </c>
      <c r="V62" s="198" t="s">
        <v>163</v>
      </c>
      <c r="W62" s="198" t="s">
        <v>164</v>
      </c>
      <c r="X62" s="234" t="s">
        <v>355</v>
      </c>
    </row>
    <row r="63" spans="1:24" ht="20.100000000000001" customHeight="1" x14ac:dyDescent="0.25">
      <c r="A63" s="660" t="s">
        <v>52</v>
      </c>
      <c r="B63" s="661"/>
      <c r="C63" s="661"/>
      <c r="D63" s="661"/>
      <c r="E63" s="661"/>
      <c r="F63" s="661"/>
      <c r="G63" s="661"/>
      <c r="H63" s="661"/>
      <c r="I63" s="661"/>
      <c r="J63" s="516"/>
      <c r="K63" s="517"/>
      <c r="L63" s="189">
        <f>COUNTIFS(JULY!G16:FG5001,"YES")</f>
        <v>0</v>
      </c>
      <c r="M63" s="189">
        <f>COUNTIFS(AUG!G15:FG5000,"YES")</f>
        <v>0</v>
      </c>
      <c r="N63" s="189">
        <f>COUNTIFS(SEPT!G15:FG5000,"YES")</f>
        <v>0</v>
      </c>
      <c r="O63" s="189">
        <f>COUNTIFS(OCT!G15:FG5000,"YES")</f>
        <v>0</v>
      </c>
      <c r="P63" s="189">
        <f>COUNTIFS(NOV!G15:FG5000,"YES")</f>
        <v>0</v>
      </c>
      <c r="Q63" s="189">
        <f>COUNTIFS(DEC!G15:FG5000,"YES")</f>
        <v>0</v>
      </c>
      <c r="R63" s="205">
        <f>COUNTIFS(JAN!G15:FG5000,"YES")</f>
        <v>0</v>
      </c>
      <c r="S63" s="205">
        <f>COUNTIFS(FEB!G15:FG5000,"YES")</f>
        <v>0</v>
      </c>
      <c r="T63" s="205">
        <f>COUNTIFS(MAR!G15:FG5000,"YES")</f>
        <v>0</v>
      </c>
      <c r="U63" s="205">
        <f>COUNTIFS(APR!G15:FG5000,"YES")</f>
        <v>0</v>
      </c>
      <c r="V63" s="205">
        <f>COUNTIFS(MAY!G15:FG5000,"YES")</f>
        <v>6</v>
      </c>
      <c r="W63" s="205">
        <f>COUNTIFS(JUNE!G15:FG5000,"YES")</f>
        <v>0</v>
      </c>
      <c r="X63" s="240">
        <f>SUM(L63:W63)/12</f>
        <v>0.5</v>
      </c>
    </row>
    <row r="64" spans="1:24" ht="20.100000000000001" customHeight="1" x14ac:dyDescent="0.25">
      <c r="A64" s="151" t="s">
        <v>43</v>
      </c>
      <c r="B64" s="152"/>
      <c r="C64" s="152"/>
      <c r="D64" s="152"/>
      <c r="E64" s="152"/>
      <c r="F64" s="152"/>
      <c r="G64" s="152"/>
      <c r="H64" s="152"/>
      <c r="I64" s="152"/>
      <c r="J64" s="149"/>
      <c r="K64" s="150"/>
      <c r="L64" s="189">
        <f>COUNTIFS(JULY!G16:FG5001,"NO")</f>
        <v>2</v>
      </c>
      <c r="M64" s="189">
        <f>COUNTIFS(AUG!G15:FG5000,"NO")</f>
        <v>0</v>
      </c>
      <c r="N64" s="189">
        <f>COUNTIFS(SEPT!G15:FG5000,"NO")</f>
        <v>0</v>
      </c>
      <c r="O64" s="189">
        <f>COUNTIFS(OCT!G15:FG5000,"NO")</f>
        <v>0</v>
      </c>
      <c r="P64" s="189">
        <f>COUNTIFS(NOV!G15:FG5000,"NO")</f>
        <v>0</v>
      </c>
      <c r="Q64" s="189">
        <f>COUNTIFS(DEC!G15:FG5000,"NO")</f>
        <v>0</v>
      </c>
      <c r="R64" s="205">
        <f>COUNTIFS(JAN!G15:FG5000,"NO")</f>
        <v>0</v>
      </c>
      <c r="S64" s="205">
        <f>COUNTIFS(FEB!G15:FG5000,"NO")</f>
        <v>0</v>
      </c>
      <c r="T64" s="205">
        <f>COUNTIFS(MAR!G15:FG5000,"NO")</f>
        <v>0</v>
      </c>
      <c r="U64" s="205">
        <f>COUNTIFS(APR!G15:FG5000,"NO")</f>
        <v>0</v>
      </c>
      <c r="V64" s="205">
        <f>COUNTIFS(MAY!G15:FG5000,"NO")</f>
        <v>11</v>
      </c>
      <c r="W64" s="205">
        <f>COUNTIFS(JUNE!G15:FG5000,"NO")</f>
        <v>0</v>
      </c>
      <c r="X64" s="240">
        <f>SUM(L64:W64)/12</f>
        <v>1.0833333333333333</v>
      </c>
    </row>
    <row r="65" spans="1:24" ht="30" customHeight="1" x14ac:dyDescent="0.3">
      <c r="A65" s="619" t="s">
        <v>193</v>
      </c>
      <c r="B65" s="620"/>
      <c r="C65" s="620"/>
      <c r="D65" s="620"/>
      <c r="E65" s="620"/>
      <c r="F65" s="620"/>
      <c r="G65" s="620"/>
      <c r="H65" s="620"/>
      <c r="I65" s="620"/>
      <c r="J65" s="531"/>
      <c r="K65" s="532"/>
      <c r="L65" s="233">
        <f t="shared" ref="L65:W65" si="1">SUM(L63:L64)</f>
        <v>2</v>
      </c>
      <c r="M65" s="233">
        <f t="shared" si="1"/>
        <v>0</v>
      </c>
      <c r="N65" s="233">
        <f t="shared" si="1"/>
        <v>0</v>
      </c>
      <c r="O65" s="233">
        <f t="shared" si="1"/>
        <v>0</v>
      </c>
      <c r="P65" s="233">
        <f t="shared" si="1"/>
        <v>0</v>
      </c>
      <c r="Q65" s="233">
        <f t="shared" si="1"/>
        <v>0</v>
      </c>
      <c r="R65" s="233">
        <f t="shared" si="1"/>
        <v>0</v>
      </c>
      <c r="S65" s="233">
        <f t="shared" si="1"/>
        <v>0</v>
      </c>
      <c r="T65" s="233">
        <f t="shared" si="1"/>
        <v>0</v>
      </c>
      <c r="U65" s="233">
        <f t="shared" si="1"/>
        <v>0</v>
      </c>
      <c r="V65" s="233">
        <f t="shared" si="1"/>
        <v>17</v>
      </c>
      <c r="W65" s="233">
        <f t="shared" si="1"/>
        <v>0</v>
      </c>
      <c r="X65" s="241">
        <f>SUM(L65:W65)/12</f>
        <v>1.5833333333333333</v>
      </c>
    </row>
    <row r="66" spans="1:24" ht="30" customHeight="1" x14ac:dyDescent="0.25">
      <c r="A66" s="523" t="s">
        <v>194</v>
      </c>
      <c r="B66" s="524"/>
      <c r="C66" s="524"/>
      <c r="D66" s="524"/>
      <c r="E66" s="524"/>
      <c r="F66" s="524"/>
      <c r="G66" s="524"/>
      <c r="H66" s="524"/>
      <c r="I66" s="524"/>
      <c r="J66" s="519" t="s">
        <v>152</v>
      </c>
      <c r="K66" s="520"/>
      <c r="L66" s="199" t="s">
        <v>153</v>
      </c>
      <c r="M66" s="199" t="s">
        <v>154</v>
      </c>
      <c r="N66" s="199" t="s">
        <v>155</v>
      </c>
      <c r="O66" s="199" t="s">
        <v>156</v>
      </c>
      <c r="P66" s="199" t="s">
        <v>157</v>
      </c>
      <c r="Q66" s="199" t="s">
        <v>158</v>
      </c>
      <c r="R66" s="199" t="s">
        <v>159</v>
      </c>
      <c r="S66" s="199" t="s">
        <v>160</v>
      </c>
      <c r="T66" s="199" t="s">
        <v>161</v>
      </c>
      <c r="U66" s="199" t="s">
        <v>162</v>
      </c>
      <c r="V66" s="199" t="s">
        <v>163</v>
      </c>
      <c r="W66" s="199" t="s">
        <v>164</v>
      </c>
      <c r="X66" s="235" t="s">
        <v>355</v>
      </c>
    </row>
    <row r="67" spans="1:24" ht="20.100000000000001" customHeight="1" x14ac:dyDescent="0.25">
      <c r="A67" s="507" t="s">
        <v>48</v>
      </c>
      <c r="B67" s="508"/>
      <c r="C67" s="508"/>
      <c r="D67" s="508"/>
      <c r="E67" s="508"/>
      <c r="F67" s="508"/>
      <c r="G67" s="508"/>
      <c r="H67" s="508"/>
      <c r="I67" s="508"/>
      <c r="J67" s="516"/>
      <c r="K67" s="517"/>
      <c r="L67" s="200">
        <f>COUNTIFS(JULY!H16:H5001,"DRS")</f>
        <v>0</v>
      </c>
      <c r="M67" s="200">
        <f>COUNTIFS(AUG!H15:H5000,"DRS")</f>
        <v>0</v>
      </c>
      <c r="N67" s="200">
        <f>COUNTIFS(SEPT!H15:H5000,"DRS")</f>
        <v>0</v>
      </c>
      <c r="O67" s="200">
        <f>COUNTIFS(OCT!H15:H5000,"DRS")</f>
        <v>0</v>
      </c>
      <c r="P67" s="200">
        <f>COUNTIFS(NOV!H15:H5000,"DRS")</f>
        <v>0</v>
      </c>
      <c r="Q67" s="200">
        <f>COUNTIFS(DEC!H15:H5000,"DRS")</f>
        <v>0</v>
      </c>
      <c r="R67" s="200">
        <f>COUNTIFS(JAN!H15:H5000,"DRS")</f>
        <v>0</v>
      </c>
      <c r="S67" s="200">
        <f>COUNTIFS(FEB!H15:H5000,"DRS")</f>
        <v>0</v>
      </c>
      <c r="T67" s="200">
        <f>COUNTIFS(MAR!H15:H5000,"DRS")</f>
        <v>0</v>
      </c>
      <c r="U67" s="200">
        <f>COUNTIFS(APR!H15:H5000,"DRS")</f>
        <v>0</v>
      </c>
      <c r="V67" s="200">
        <f>COUNTIFS(MAY!H15:H5000,"DRS")</f>
        <v>0</v>
      </c>
      <c r="W67" s="200">
        <f>COUNTIFS(JUNE!H15:H5000,"DRS")</f>
        <v>0</v>
      </c>
      <c r="X67" s="200">
        <f>SUM(J67:W67)/12</f>
        <v>0</v>
      </c>
    </row>
    <row r="68" spans="1:24" ht="20.100000000000001" customHeight="1" x14ac:dyDescent="0.25">
      <c r="A68" s="507" t="s">
        <v>53</v>
      </c>
      <c r="B68" s="508"/>
      <c r="C68" s="508"/>
      <c r="D68" s="508"/>
      <c r="E68" s="508"/>
      <c r="F68" s="508"/>
      <c r="G68" s="508"/>
      <c r="H68" s="508"/>
      <c r="I68" s="508"/>
      <c r="J68" s="516"/>
      <c r="K68" s="517"/>
      <c r="L68" s="200">
        <f>COUNTIFS(JULY!H16:H5001,"Waiver")</f>
        <v>0</v>
      </c>
      <c r="M68" s="200">
        <f>COUNTIFS(AUG!H15:H5000,"Waiver")</f>
        <v>0</v>
      </c>
      <c r="N68" s="200">
        <f>COUNTIFS(SEPT!H15:H5000,"Waiver")</f>
        <v>0</v>
      </c>
      <c r="O68" s="200">
        <f>COUNTIFS(OCT!H15:H5000,"Waiver")</f>
        <v>0</v>
      </c>
      <c r="P68" s="200">
        <f>COUNTIFS(NOV!H15:H5000,"Waiver")</f>
        <v>0</v>
      </c>
      <c r="Q68" s="200">
        <f>COUNTIFS(DEC!H15:H5000,"Waiver")</f>
        <v>0</v>
      </c>
      <c r="R68" s="200">
        <f>COUNTIFS(JAN!H15:H5000,"Waiver")</f>
        <v>0</v>
      </c>
      <c r="S68" s="200">
        <f>COUNTIFS(FEB!H15:H5000,"Waiver")</f>
        <v>0</v>
      </c>
      <c r="T68" s="200">
        <f>COUNTIFS(MAR!H15:H5000,"Waiver")</f>
        <v>0</v>
      </c>
      <c r="U68" s="200">
        <f>COUNTIFS(APR!H15:H5000,"Waiver")</f>
        <v>0</v>
      </c>
      <c r="V68" s="200">
        <f>COUNTIFS(MAY!H15:H5000,"Waiver")</f>
        <v>0</v>
      </c>
      <c r="W68" s="200">
        <f>COUNTIFS(JUNE!H15:H5000,"Waiver")</f>
        <v>0</v>
      </c>
      <c r="X68" s="200">
        <f>SUM(J68:W68)/12</f>
        <v>0</v>
      </c>
    </row>
    <row r="69" spans="1:24" ht="20.100000000000001" customHeight="1" x14ac:dyDescent="0.25">
      <c r="A69" s="507" t="s">
        <v>188</v>
      </c>
      <c r="B69" s="508"/>
      <c r="C69" s="508"/>
      <c r="D69" s="508"/>
      <c r="E69" s="508"/>
      <c r="F69" s="508"/>
      <c r="G69" s="508"/>
      <c r="H69" s="508"/>
      <c r="I69" s="508"/>
      <c r="J69" s="516"/>
      <c r="K69" s="517"/>
      <c r="L69" s="200">
        <f>COUNTIFS(JULY!H16:H5001,"Other (Specify) ")</f>
        <v>0</v>
      </c>
      <c r="M69" s="200">
        <f>COUNTIFS(AUG!H15:H5000,"Other (Specify) ")</f>
        <v>0</v>
      </c>
      <c r="N69" s="200">
        <f>COUNTIFS(SEPT!H15:H5000,"Other (Specify) ")</f>
        <v>0</v>
      </c>
      <c r="O69" s="200">
        <f>COUNTIFS(OCT!H15:H5000,"Other (Specify) ")</f>
        <v>0</v>
      </c>
      <c r="P69" s="200">
        <f>COUNTIFS(NOV!H15:H5000,"Other (Specify) ")</f>
        <v>0</v>
      </c>
      <c r="Q69" s="200">
        <f>COUNTIFS(DEC!H15:H5000,"Other (Specify) ")</f>
        <v>0</v>
      </c>
      <c r="R69" s="200">
        <f>COUNTIFS(JAN!H15:H5000,"Other (Specify) ")</f>
        <v>0</v>
      </c>
      <c r="S69" s="200">
        <f>COUNTIFS(FEB!H15:H5000,"Other (Specify) ")</f>
        <v>0</v>
      </c>
      <c r="T69" s="200">
        <f>COUNTIFS(MAR!H15:H5000,"Other (Specify) ")</f>
        <v>0</v>
      </c>
      <c r="U69" s="200">
        <f>COUNTIFS(APR!H15:H5000,"Other (Specify) ")</f>
        <v>0</v>
      </c>
      <c r="V69" s="200">
        <f>COUNTIFS(MAY!H15:H5000,"Other (Specify) ")</f>
        <v>0</v>
      </c>
      <c r="W69" s="200">
        <f>COUNTIFS(JUNE!H15:H5000,"Other (Specify) ")</f>
        <v>0</v>
      </c>
      <c r="X69" s="200">
        <f>SUM(J69:W69)/12</f>
        <v>0</v>
      </c>
    </row>
    <row r="70" spans="1:24" ht="30" customHeight="1" x14ac:dyDescent="0.25">
      <c r="A70" s="608" t="s">
        <v>195</v>
      </c>
      <c r="B70" s="609"/>
      <c r="C70" s="609"/>
      <c r="D70" s="609"/>
      <c r="E70" s="609"/>
      <c r="F70" s="609"/>
      <c r="G70" s="609"/>
      <c r="H70" s="609"/>
      <c r="I70" s="609"/>
      <c r="J70" s="655"/>
      <c r="K70" s="656"/>
      <c r="L70" s="236">
        <f t="shared" ref="L70:X70" si="2">SUM(L67:L69)</f>
        <v>0</v>
      </c>
      <c r="M70" s="236">
        <f t="shared" si="2"/>
        <v>0</v>
      </c>
      <c r="N70" s="236">
        <f t="shared" si="2"/>
        <v>0</v>
      </c>
      <c r="O70" s="236">
        <f t="shared" si="2"/>
        <v>0</v>
      </c>
      <c r="P70" s="236">
        <f t="shared" si="2"/>
        <v>0</v>
      </c>
      <c r="Q70" s="236">
        <f t="shared" si="2"/>
        <v>0</v>
      </c>
      <c r="R70" s="236">
        <f t="shared" si="2"/>
        <v>0</v>
      </c>
      <c r="S70" s="236">
        <f t="shared" si="2"/>
        <v>0</v>
      </c>
      <c r="T70" s="236">
        <f t="shared" si="2"/>
        <v>0</v>
      </c>
      <c r="U70" s="236">
        <f t="shared" si="2"/>
        <v>0</v>
      </c>
      <c r="V70" s="236">
        <f t="shared" si="2"/>
        <v>0</v>
      </c>
      <c r="W70" s="236">
        <f t="shared" si="2"/>
        <v>0</v>
      </c>
      <c r="X70" s="242">
        <f t="shared" si="2"/>
        <v>0</v>
      </c>
    </row>
    <row r="71" spans="1:24" ht="30" customHeight="1" x14ac:dyDescent="0.25">
      <c r="A71" s="555" t="s">
        <v>196</v>
      </c>
      <c r="B71" s="556"/>
      <c r="C71" s="556"/>
      <c r="D71" s="556"/>
      <c r="E71" s="556"/>
      <c r="F71" s="556"/>
      <c r="G71" s="556"/>
      <c r="H71" s="556"/>
      <c r="I71" s="556"/>
      <c r="J71" s="519"/>
      <c r="K71" s="520"/>
      <c r="L71" s="201" t="s">
        <v>153</v>
      </c>
      <c r="M71" s="201" t="s">
        <v>154</v>
      </c>
      <c r="N71" s="201" t="s">
        <v>155</v>
      </c>
      <c r="O71" s="201" t="s">
        <v>156</v>
      </c>
      <c r="P71" s="201" t="s">
        <v>157</v>
      </c>
      <c r="Q71" s="201" t="s">
        <v>158</v>
      </c>
      <c r="R71" s="201" t="s">
        <v>159</v>
      </c>
      <c r="S71" s="201" t="s">
        <v>160</v>
      </c>
      <c r="T71" s="201" t="s">
        <v>161</v>
      </c>
      <c r="U71" s="201" t="s">
        <v>162</v>
      </c>
      <c r="V71" s="201" t="s">
        <v>163</v>
      </c>
      <c r="W71" s="201" t="s">
        <v>164</v>
      </c>
      <c r="X71" s="237" t="s">
        <v>355</v>
      </c>
    </row>
    <row r="72" spans="1:24" ht="20.100000000000001" customHeight="1" x14ac:dyDescent="0.25">
      <c r="A72" s="547" t="s">
        <v>52</v>
      </c>
      <c r="B72" s="548"/>
      <c r="C72" s="548"/>
      <c r="D72" s="548"/>
      <c r="E72" s="548"/>
      <c r="F72" s="548"/>
      <c r="G72" s="548"/>
      <c r="H72" s="548"/>
      <c r="I72" s="548"/>
      <c r="J72" s="516"/>
      <c r="K72" s="517"/>
      <c r="L72" s="206">
        <f>COUNTIFS(JULY!L16:L5001,"YES")</f>
        <v>0</v>
      </c>
      <c r="M72" s="206">
        <f>COUNTIFS(AUG!L15:L5000,"YES")</f>
        <v>0</v>
      </c>
      <c r="N72" s="206">
        <f>COUNTIFS(SEPT!L15:L5000,"YES")</f>
        <v>0</v>
      </c>
      <c r="O72" s="206">
        <f>COUNTIFS(OCT!L15:L5000,"YES")</f>
        <v>0</v>
      </c>
      <c r="P72" s="206">
        <f>COUNTIFS(NOV!L15:L5000,"YES")</f>
        <v>0</v>
      </c>
      <c r="Q72" s="206">
        <f>COUNTIFS(DEC!L15:L5000,"YES")</f>
        <v>0</v>
      </c>
      <c r="R72" s="206">
        <f>COUNTIFS(JAN!L15:L5000,"YES")</f>
        <v>0</v>
      </c>
      <c r="S72" s="206">
        <f>COUNTIFS(FEB!L15:L5000,"YES")</f>
        <v>0</v>
      </c>
      <c r="T72" s="206">
        <f>COUNTIFS(MAR!L15:L5000,"YES")</f>
        <v>0</v>
      </c>
      <c r="U72" s="206">
        <f>COUNTIFS(APR!L15:L5000,"YES")</f>
        <v>0</v>
      </c>
      <c r="V72" s="206">
        <f>COUNTIFS(MAY!L15:L5000,"YES")</f>
        <v>0</v>
      </c>
      <c r="W72" s="206">
        <f>COUNTIFS(JUNE!L15:L5000,"YES")</f>
        <v>0</v>
      </c>
      <c r="X72" s="206">
        <f>SUM(J72:W72)/12</f>
        <v>0</v>
      </c>
    </row>
    <row r="73" spans="1:24" ht="20.100000000000001" customHeight="1" x14ac:dyDescent="0.25">
      <c r="A73" s="547" t="s">
        <v>43</v>
      </c>
      <c r="B73" s="548"/>
      <c r="C73" s="548"/>
      <c r="D73" s="548"/>
      <c r="E73" s="548"/>
      <c r="F73" s="548"/>
      <c r="G73" s="548"/>
      <c r="H73" s="548"/>
      <c r="I73" s="548"/>
      <c r="J73" s="516"/>
      <c r="K73" s="517"/>
      <c r="L73" s="206">
        <f>COUNTIFS(JULY!L16:L5001,"NO")</f>
        <v>0</v>
      </c>
      <c r="M73" s="206">
        <f>COUNTIFS(AUG!L15:L5000,"NO")</f>
        <v>0</v>
      </c>
      <c r="N73" s="206">
        <f>COUNTIFS(SEPT!L15:L5000,"NO")</f>
        <v>0</v>
      </c>
      <c r="O73" s="206">
        <f>COUNTIFS(OCT!L15:L5000,"NO")</f>
        <v>0</v>
      </c>
      <c r="P73" s="206">
        <f>COUNTIFS(NOV!L15:L5000,"NO")</f>
        <v>0</v>
      </c>
      <c r="Q73" s="206">
        <f>COUNTIFS(DEC!L15:L5000,"NO")</f>
        <v>0</v>
      </c>
      <c r="R73" s="206">
        <f>COUNTIFS(JAN!L15:L5000,"NO")</f>
        <v>0</v>
      </c>
      <c r="S73" s="206">
        <f>COUNTIFS(FEB!L15:L5000,"NO")</f>
        <v>0</v>
      </c>
      <c r="T73" s="206">
        <f>COUNTIFS(MAR!L15:L5000,"NO")</f>
        <v>0</v>
      </c>
      <c r="U73" s="206">
        <f>COUNTIFS(APR!L15:L5000,"NO")</f>
        <v>0</v>
      </c>
      <c r="V73" s="206">
        <f>COUNTIFS(MAY!L16:L5001,"YES")</f>
        <v>0</v>
      </c>
      <c r="W73" s="206">
        <f>COUNTIFS(JUNE!L15:L5000,"NO")</f>
        <v>0</v>
      </c>
      <c r="X73" s="206">
        <f>SUM(J73:W73)/12</f>
        <v>0</v>
      </c>
    </row>
    <row r="74" spans="1:24" ht="30" customHeight="1" x14ac:dyDescent="0.25">
      <c r="A74" s="545" t="s">
        <v>197</v>
      </c>
      <c r="B74" s="546"/>
      <c r="C74" s="546"/>
      <c r="D74" s="546"/>
      <c r="E74" s="546"/>
      <c r="F74" s="546"/>
      <c r="G74" s="546"/>
      <c r="H74" s="546"/>
      <c r="I74" s="546"/>
      <c r="J74" s="553"/>
      <c r="K74" s="554"/>
      <c r="L74" s="202">
        <f t="shared" ref="L74:W74" si="3">SUM(L72:L73)</f>
        <v>0</v>
      </c>
      <c r="M74" s="202">
        <f t="shared" si="3"/>
        <v>0</v>
      </c>
      <c r="N74" s="202">
        <f t="shared" si="3"/>
        <v>0</v>
      </c>
      <c r="O74" s="202">
        <f t="shared" si="3"/>
        <v>0</v>
      </c>
      <c r="P74" s="202">
        <f t="shared" si="3"/>
        <v>0</v>
      </c>
      <c r="Q74" s="202">
        <f t="shared" si="3"/>
        <v>0</v>
      </c>
      <c r="R74" s="202">
        <f t="shared" si="3"/>
        <v>0</v>
      </c>
      <c r="S74" s="202">
        <f t="shared" si="3"/>
        <v>0</v>
      </c>
      <c r="T74" s="202">
        <f t="shared" si="3"/>
        <v>0</v>
      </c>
      <c r="U74" s="202">
        <f t="shared" si="3"/>
        <v>0</v>
      </c>
      <c r="V74" s="202">
        <f t="shared" si="3"/>
        <v>0</v>
      </c>
      <c r="W74" s="202">
        <f t="shared" si="3"/>
        <v>0</v>
      </c>
      <c r="X74" s="243">
        <f>SUM(L74:W74)/12</f>
        <v>0</v>
      </c>
    </row>
    <row r="75" spans="1:24" ht="30" customHeight="1" x14ac:dyDescent="0.25">
      <c r="A75" s="501" t="s">
        <v>198</v>
      </c>
      <c r="B75" s="502"/>
      <c r="C75" s="502"/>
      <c r="D75" s="502"/>
      <c r="E75" s="502"/>
      <c r="F75" s="502"/>
      <c r="G75" s="502"/>
      <c r="H75" s="502"/>
      <c r="I75" s="502"/>
      <c r="J75" s="519"/>
      <c r="K75" s="520"/>
      <c r="L75" s="207" t="s">
        <v>153</v>
      </c>
      <c r="M75" s="207" t="s">
        <v>154</v>
      </c>
      <c r="N75" s="207" t="s">
        <v>155</v>
      </c>
      <c r="O75" s="207" t="s">
        <v>156</v>
      </c>
      <c r="P75" s="207" t="s">
        <v>157</v>
      </c>
      <c r="Q75" s="207" t="s">
        <v>158</v>
      </c>
      <c r="R75" s="207" t="s">
        <v>159</v>
      </c>
      <c r="S75" s="207" t="s">
        <v>160</v>
      </c>
      <c r="T75" s="207" t="s">
        <v>161</v>
      </c>
      <c r="U75" s="207" t="s">
        <v>162</v>
      </c>
      <c r="V75" s="207" t="s">
        <v>163</v>
      </c>
      <c r="W75" s="207" t="s">
        <v>164</v>
      </c>
      <c r="X75" s="248" t="s">
        <v>355</v>
      </c>
    </row>
    <row r="76" spans="1:24" ht="20.100000000000001" customHeight="1" x14ac:dyDescent="0.25">
      <c r="A76" s="543" t="s">
        <v>219</v>
      </c>
      <c r="B76" s="544"/>
      <c r="C76" s="544"/>
      <c r="D76" s="544"/>
      <c r="E76" s="544"/>
      <c r="F76" s="544"/>
      <c r="G76" s="544"/>
      <c r="H76" s="544"/>
      <c r="I76" s="544"/>
      <c r="J76" s="516"/>
      <c r="K76" s="517"/>
      <c r="L76" s="209">
        <f>SUMIF(JULY!M16:M5001,"&gt;=1")</f>
        <v>0</v>
      </c>
      <c r="M76" s="209">
        <f>SUMIF(AUG!M15:M5000,"&gt;=1")</f>
        <v>0</v>
      </c>
      <c r="N76" s="209">
        <f>SUMIF(SEPT!M15:M5000,"&gt;=1")</f>
        <v>0</v>
      </c>
      <c r="O76" s="209">
        <f>SUMIF(OCT!M15:M5000,"&gt;=1")</f>
        <v>0</v>
      </c>
      <c r="P76" s="209">
        <f>SUMIF(NOV!M15:M5000,"&gt;=1")</f>
        <v>0</v>
      </c>
      <c r="Q76" s="209">
        <f>SUMIF(DEC!M15:M4999,"&gt;=1")</f>
        <v>0</v>
      </c>
      <c r="R76" s="208">
        <f>SUMIF(JAN!M15:M5000,"&gt;=1")</f>
        <v>0</v>
      </c>
      <c r="S76" s="208">
        <f>SUMIF(FEB!M15:M5000,"&gt;=1")</f>
        <v>0</v>
      </c>
      <c r="T76" s="208">
        <f>SUMIF(MAR!M15:M5000,"&gt;=1")</f>
        <v>0</v>
      </c>
      <c r="U76" s="208">
        <f>SUMIF(APR!M15:M5000,"&gt;=1")</f>
        <v>0</v>
      </c>
      <c r="V76" s="208">
        <f>SUMIF(MAY!M15:M5000,"&gt;=1")</f>
        <v>0</v>
      </c>
      <c r="W76" s="208">
        <f>SUMIF(JUNE!M15:M5000,"&gt;=1")</f>
        <v>0</v>
      </c>
      <c r="X76" s="208">
        <f>SUM(J76:W76)/12</f>
        <v>0</v>
      </c>
    </row>
    <row r="77" spans="1:24" ht="20.100000000000001" customHeight="1" x14ac:dyDescent="0.25">
      <c r="A77" s="543" t="s">
        <v>220</v>
      </c>
      <c r="B77" s="544"/>
      <c r="C77" s="544"/>
      <c r="D77" s="544"/>
      <c r="E77" s="544"/>
      <c r="F77" s="544"/>
      <c r="G77" s="544"/>
      <c r="H77" s="544"/>
      <c r="I77" s="544"/>
      <c r="J77" s="516"/>
      <c r="K77" s="517"/>
      <c r="L77" s="209">
        <f>SUMIF(JULY!N16:N5001,"&gt;=1")</f>
        <v>0</v>
      </c>
      <c r="M77" s="209">
        <f>SUMIF(AUG!N15:N5000,"&gt;=1")</f>
        <v>0</v>
      </c>
      <c r="N77" s="209">
        <f>SUMIF(SEPT!N15:N5000,"&gt;=1")</f>
        <v>0</v>
      </c>
      <c r="O77" s="209">
        <f>SUMIF(OCT!N15:N5000,"&gt;=1")</f>
        <v>0</v>
      </c>
      <c r="P77" s="209">
        <f>SUMIF(NOV!N15:N5000,"&gt;=1")</f>
        <v>0</v>
      </c>
      <c r="Q77" s="209">
        <f>SUMIF(DEC!N15:N4999,"&gt;=1")</f>
        <v>0</v>
      </c>
      <c r="R77" s="208">
        <f>SUMIF(JAN!N15:N5000,"&gt;=1")</f>
        <v>0</v>
      </c>
      <c r="S77" s="208">
        <f>SUMIF(FEB!N15:N5000,"&gt;=1")</f>
        <v>0</v>
      </c>
      <c r="T77" s="208">
        <f>SUMIF(MAR!N15:N5000,"&gt;=1")</f>
        <v>0</v>
      </c>
      <c r="U77" s="208">
        <f>SUMIF(APR!N15:N5000,"&gt;=1")</f>
        <v>0</v>
      </c>
      <c r="V77" s="208">
        <f>SUMIF(MAY!N15:N5000,"&gt;=1")</f>
        <v>0</v>
      </c>
      <c r="W77" s="208">
        <f>SUMIF(JUNE!N15:N5000,"&gt;=1")</f>
        <v>0</v>
      </c>
      <c r="X77" s="208">
        <f>SUM(J77:W77)/12</f>
        <v>0</v>
      </c>
    </row>
    <row r="78" spans="1:24" ht="30" customHeight="1" x14ac:dyDescent="0.25">
      <c r="A78" s="551" t="s">
        <v>199</v>
      </c>
      <c r="B78" s="552"/>
      <c r="C78" s="552"/>
      <c r="D78" s="552"/>
      <c r="E78" s="552"/>
      <c r="F78" s="552"/>
      <c r="G78" s="552"/>
      <c r="H78" s="552"/>
      <c r="I78" s="552"/>
      <c r="J78" s="519"/>
      <c r="K78" s="520"/>
      <c r="L78" s="187" t="s">
        <v>153</v>
      </c>
      <c r="M78" s="187" t="s">
        <v>154</v>
      </c>
      <c r="N78" s="187" t="s">
        <v>155</v>
      </c>
      <c r="O78" s="187" t="s">
        <v>156</v>
      </c>
      <c r="P78" s="187" t="s">
        <v>157</v>
      </c>
      <c r="Q78" s="187" t="s">
        <v>158</v>
      </c>
      <c r="R78" s="187" t="s">
        <v>159</v>
      </c>
      <c r="S78" s="187" t="s">
        <v>160</v>
      </c>
      <c r="T78" s="187" t="s">
        <v>161</v>
      </c>
      <c r="U78" s="187" t="s">
        <v>162</v>
      </c>
      <c r="V78" s="187" t="s">
        <v>163</v>
      </c>
      <c r="W78" s="187" t="s">
        <v>164</v>
      </c>
      <c r="X78" s="249" t="s">
        <v>355</v>
      </c>
    </row>
    <row r="79" spans="1:24" ht="20.100000000000001" customHeight="1" x14ac:dyDescent="0.25">
      <c r="A79" s="549" t="s">
        <v>86</v>
      </c>
      <c r="B79" s="550"/>
      <c r="C79" s="550"/>
      <c r="D79" s="550"/>
      <c r="E79" s="550"/>
      <c r="F79" s="550"/>
      <c r="G79" s="550"/>
      <c r="H79" s="550"/>
      <c r="I79" s="550"/>
      <c r="J79" s="516"/>
      <c r="K79" s="517"/>
      <c r="L79" s="210">
        <f>COUNTIFS(JULY!Q15:Q500,"No Work Available")</f>
        <v>0</v>
      </c>
      <c r="M79" s="210">
        <f>COUNTIFS(AUG!Q15:Q5000,"No Work Available")</f>
        <v>0</v>
      </c>
      <c r="N79" s="210">
        <f>COUNTIFS(SEPT!Q15:Q5000,"No Work Available")</f>
        <v>0</v>
      </c>
      <c r="O79" s="210">
        <f>COUNTIFS(OCT!Q15:Q5000,"No Work Available")</f>
        <v>0</v>
      </c>
      <c r="P79" s="210">
        <f>COUNTIFS(NOV!Q15:Q5000,"No Work Available")</f>
        <v>0</v>
      </c>
      <c r="Q79" s="210">
        <f>COUNTIFS(DEC!Q15:Q5000,"No Work Available")</f>
        <v>0</v>
      </c>
      <c r="R79" s="211">
        <f>COUNTIFS(JAN!Q15:Q5000,"No Work Available")</f>
        <v>0</v>
      </c>
      <c r="S79" s="211">
        <f>COUNTIFS(FEB!Q15:Q5000,"No Work Available")</f>
        <v>0</v>
      </c>
      <c r="T79" s="211">
        <f>COUNTIFS(MAR!Q15:Q5000,"No Work Available")</f>
        <v>0</v>
      </c>
      <c r="U79" s="211">
        <f>COUNTIFS(APR!Q15:Q5000,"No Work Available")</f>
        <v>0</v>
      </c>
      <c r="V79" s="211">
        <f>COUNTIFS(MAY!Q15:Q5000,"No Work Available")</f>
        <v>3</v>
      </c>
      <c r="W79" s="211">
        <f>COUNTIFS(JUNE!Q15:Q5000,"No Work Available")</f>
        <v>0</v>
      </c>
      <c r="X79" s="211">
        <f>SUM(J79:W79)/12</f>
        <v>0.25</v>
      </c>
    </row>
    <row r="80" spans="1:24" ht="20.100000000000001" customHeight="1" x14ac:dyDescent="0.25">
      <c r="A80" s="549" t="s">
        <v>200</v>
      </c>
      <c r="B80" s="550"/>
      <c r="C80" s="550"/>
      <c r="D80" s="550"/>
      <c r="E80" s="550"/>
      <c r="F80" s="550"/>
      <c r="G80" s="550"/>
      <c r="H80" s="550"/>
      <c r="I80" s="550"/>
      <c r="J80" s="516"/>
      <c r="K80" s="517"/>
      <c r="L80" s="210">
        <f>COUNTIFS(JULY!Q15:Q5000,"Individual Sick")</f>
        <v>1</v>
      </c>
      <c r="M80" s="210">
        <f>COUNTIFS(AUG!Q15:Q5000,"Individual Sick")</f>
        <v>0</v>
      </c>
      <c r="N80" s="210">
        <f>COUNTIFS(SEPT!Q15:Q5000,"Individual Sick")</f>
        <v>0</v>
      </c>
      <c r="O80" s="210">
        <f>COUNTIFS(OCT!Q15:Q5000,"Individual Sick")</f>
        <v>0</v>
      </c>
      <c r="P80" s="210">
        <f>COUNTIFS(NOV!Q15:Q5000,"Individual Sick")</f>
        <v>0</v>
      </c>
      <c r="Q80" s="210">
        <f>COUNTIFS(DEC!Q15:Q5000,"Individual Sick")</f>
        <v>0</v>
      </c>
      <c r="R80" s="211">
        <f>COUNTIFS(JAN!Q15:Q5000,"Individual Sick")</f>
        <v>0</v>
      </c>
      <c r="S80" s="211">
        <f>COUNTIFS(FEB!Q15:Q5000,"Individual Sick")</f>
        <v>0</v>
      </c>
      <c r="T80" s="211">
        <f>COUNTIFS(MAR!Q15:Q5000,"Individual Sick")</f>
        <v>0</v>
      </c>
      <c r="U80" s="211">
        <f>COUNTIFS(APR!Q15:Q5000,"Individual Sick")</f>
        <v>0</v>
      </c>
      <c r="V80" s="211">
        <f>COUNTIFS(MAY!Q15:Q5000,"Individual Sick")</f>
        <v>2</v>
      </c>
      <c r="W80" s="211">
        <f>COUNTIFS(JUNE!Q15:Q5000,"Individual Sick")</f>
        <v>0</v>
      </c>
      <c r="X80" s="211">
        <f>SUM(J80:W80)/12</f>
        <v>0.25</v>
      </c>
    </row>
    <row r="81" spans="1:24" ht="20.100000000000001" customHeight="1" x14ac:dyDescent="0.25">
      <c r="A81" s="549" t="s">
        <v>90</v>
      </c>
      <c r="B81" s="550"/>
      <c r="C81" s="550"/>
      <c r="D81" s="550"/>
      <c r="E81" s="550"/>
      <c r="F81" s="550"/>
      <c r="G81" s="550"/>
      <c r="H81" s="550"/>
      <c r="I81" s="550"/>
      <c r="J81" s="516"/>
      <c r="K81" s="517"/>
      <c r="L81" s="210">
        <f>COUNTIFS(JULY!Q15:Q5000,"Individual chose not to work ")</f>
        <v>0</v>
      </c>
      <c r="M81" s="210">
        <f>COUNTIFS(AUG!Q15:Q5000,"Individual chose not to work ")</f>
        <v>0</v>
      </c>
      <c r="N81" s="210">
        <f>COUNTIFS(SEPT!Q15:Q5000,"Individual chose not to work ")</f>
        <v>0</v>
      </c>
      <c r="O81" s="210">
        <f>COUNTIFS(OCT!Q15:Q5000,"Individual chose not to work ")</f>
        <v>0</v>
      </c>
      <c r="P81" s="210">
        <f>COUNTIFS(NOV!Q15:Q5000,"Individual chose not to work ")</f>
        <v>0</v>
      </c>
      <c r="Q81" s="210">
        <f>COUNTIFS(DEC!Q15:Q5000,"Individual chose not to work ")</f>
        <v>0</v>
      </c>
      <c r="R81" s="211">
        <f>COUNTIFS(JAN!Q15:Q5000,"Individual chose not to work ")</f>
        <v>0</v>
      </c>
      <c r="S81" s="211">
        <f>COUNTIFS(FEB!Q15:Q5000,"Individual chose not to work ")</f>
        <v>0</v>
      </c>
      <c r="T81" s="211">
        <f>COUNTIFS(MAR!Q15:Q5000,"Individual chose not to work ")</f>
        <v>0</v>
      </c>
      <c r="U81" s="211">
        <f>COUNTIFS(APR!Q15:Q5000,"Individual chose not to work ")</f>
        <v>0</v>
      </c>
      <c r="V81" s="211">
        <f>COUNTIFS(MAY!Q15:Q5000,"Individual chose not to work ")</f>
        <v>3</v>
      </c>
      <c r="W81" s="211">
        <f>COUNTIFS(JUNE!Q15:Q5000,"Individual chose not to work ")</f>
        <v>0</v>
      </c>
      <c r="X81" s="211">
        <f>SUM(J81:W81)/12</f>
        <v>0.25</v>
      </c>
    </row>
    <row r="82" spans="1:24" ht="20.100000000000001" customHeight="1" x14ac:dyDescent="0.3">
      <c r="A82" s="537" t="s">
        <v>217</v>
      </c>
      <c r="B82" s="538"/>
      <c r="C82" s="538"/>
      <c r="D82" s="538"/>
      <c r="E82" s="538"/>
      <c r="F82" s="538"/>
      <c r="G82" s="538"/>
      <c r="H82" s="538"/>
      <c r="I82" s="538"/>
      <c r="J82" s="519"/>
      <c r="K82" s="520"/>
      <c r="L82" s="186">
        <f>SUM(L79:L81)</f>
        <v>1</v>
      </c>
      <c r="M82" s="186">
        <f t="shared" ref="M82:W82" si="4">SUM(M79:M81)</f>
        <v>0</v>
      </c>
      <c r="N82" s="186">
        <f t="shared" si="4"/>
        <v>0</v>
      </c>
      <c r="O82" s="186">
        <f t="shared" si="4"/>
        <v>0</v>
      </c>
      <c r="P82" s="186">
        <f t="shared" si="4"/>
        <v>0</v>
      </c>
      <c r="Q82" s="186">
        <f t="shared" si="4"/>
        <v>0</v>
      </c>
      <c r="R82" s="186">
        <f t="shared" si="4"/>
        <v>0</v>
      </c>
      <c r="S82" s="186">
        <f t="shared" si="4"/>
        <v>0</v>
      </c>
      <c r="T82" s="186">
        <f t="shared" si="4"/>
        <v>0</v>
      </c>
      <c r="U82" s="186">
        <f t="shared" si="4"/>
        <v>0</v>
      </c>
      <c r="V82" s="186">
        <f t="shared" si="4"/>
        <v>8</v>
      </c>
      <c r="W82" s="186">
        <f t="shared" si="4"/>
        <v>0</v>
      </c>
      <c r="X82" s="188">
        <f>SUM(L82:W82)/12</f>
        <v>0.75</v>
      </c>
    </row>
    <row r="83" spans="1:24" ht="30" customHeight="1" x14ac:dyDescent="0.25">
      <c r="A83" s="535" t="s">
        <v>201</v>
      </c>
      <c r="B83" s="536"/>
      <c r="C83" s="536"/>
      <c r="D83" s="536"/>
      <c r="E83" s="536"/>
      <c r="F83" s="536"/>
      <c r="G83" s="536"/>
      <c r="H83" s="536"/>
      <c r="I83" s="536"/>
      <c r="J83" s="519"/>
      <c r="K83" s="520"/>
      <c r="L83" s="213" t="s">
        <v>153</v>
      </c>
      <c r="M83" s="213" t="s">
        <v>154</v>
      </c>
      <c r="N83" s="213" t="s">
        <v>155</v>
      </c>
      <c r="O83" s="213" t="s">
        <v>156</v>
      </c>
      <c r="P83" s="213" t="s">
        <v>157</v>
      </c>
      <c r="Q83" s="213" t="s">
        <v>158</v>
      </c>
      <c r="R83" s="213" t="s">
        <v>159</v>
      </c>
      <c r="S83" s="213" t="s">
        <v>160</v>
      </c>
      <c r="T83" s="213" t="s">
        <v>161</v>
      </c>
      <c r="U83" s="213" t="s">
        <v>162</v>
      </c>
      <c r="V83" s="213" t="s">
        <v>163</v>
      </c>
      <c r="W83" s="213" t="s">
        <v>164</v>
      </c>
      <c r="X83" s="250" t="s">
        <v>355</v>
      </c>
    </row>
    <row r="84" spans="1:24" ht="20.100000000000001" customHeight="1" x14ac:dyDescent="0.25">
      <c r="A84" s="533" t="s">
        <v>52</v>
      </c>
      <c r="B84" s="534"/>
      <c r="C84" s="534"/>
      <c r="D84" s="534"/>
      <c r="E84" s="534"/>
      <c r="F84" s="534"/>
      <c r="G84" s="534"/>
      <c r="H84" s="534"/>
      <c r="I84" s="534"/>
      <c r="J84" s="516"/>
      <c r="K84" s="517"/>
      <c r="L84" s="212">
        <f>COUNTIFS(JULY!R15:R5000,"YES")</f>
        <v>0</v>
      </c>
      <c r="M84" s="212">
        <f>COUNTIFS(AUG!R15:R5000,"YES")</f>
        <v>0</v>
      </c>
      <c r="N84" s="212">
        <f>COUNTIFS(SEPT!R15:R5000,"YES")</f>
        <v>0</v>
      </c>
      <c r="O84" s="212">
        <f>COUNTIFS(OCT!R15:R5000,"YES")</f>
        <v>0</v>
      </c>
      <c r="P84" s="212">
        <f>COUNTIFS(NOV!R15:R5000,"YES")</f>
        <v>0</v>
      </c>
      <c r="Q84" s="212">
        <f>COUNTIFS(DEC!R15:R5000,"YES")</f>
        <v>0</v>
      </c>
      <c r="R84" s="212">
        <f>COUNTIFS(JAN!R15:R5000,"YES")</f>
        <v>0</v>
      </c>
      <c r="S84" s="212">
        <f>COUNTIFS(FEB!R15:R5000,"YES")</f>
        <v>0</v>
      </c>
      <c r="T84" s="212">
        <f>COUNTIFS(MAR!R15:R5000,"YES")</f>
        <v>0</v>
      </c>
      <c r="U84" s="212">
        <f>COUNTIFS(APR!R15:R5000,"YES")</f>
        <v>0</v>
      </c>
      <c r="V84" s="212">
        <f>COUNTIFS(MAY!R15:R5000,"YES")</f>
        <v>3</v>
      </c>
      <c r="W84" s="212">
        <f>COUNTIFS(JUNE!R15:R5000,"YES")</f>
        <v>0</v>
      </c>
      <c r="X84" s="212">
        <f>SUM(J84:W84)/12</f>
        <v>0.25</v>
      </c>
    </row>
    <row r="85" spans="1:24" ht="20.100000000000001" customHeight="1" x14ac:dyDescent="0.25">
      <c r="A85" s="533" t="s">
        <v>43</v>
      </c>
      <c r="B85" s="534"/>
      <c r="C85" s="534"/>
      <c r="D85" s="534"/>
      <c r="E85" s="534"/>
      <c r="F85" s="534"/>
      <c r="G85" s="534"/>
      <c r="H85" s="534"/>
      <c r="I85" s="534"/>
      <c r="J85" s="516"/>
      <c r="K85" s="517"/>
      <c r="L85" s="212">
        <f>COUNTIFS(JULY!R15:R5000,"NO")</f>
        <v>2</v>
      </c>
      <c r="M85" s="212">
        <f>COUNTIFS(AUG!R15:R5000,"NO")</f>
        <v>0</v>
      </c>
      <c r="N85" s="212">
        <f>COUNTIFS(SEPT!R15:R5000,"NO")</f>
        <v>0</v>
      </c>
      <c r="O85" s="212">
        <f>COUNTIFS(OCT!R15:R5000,"NO")</f>
        <v>0</v>
      </c>
      <c r="P85" s="212">
        <f>COUNTIFS(NOV!R15:R5000,"NO")</f>
        <v>0</v>
      </c>
      <c r="Q85" s="212">
        <f>COUNTIFS(DEC!R15:R5000,"NO")</f>
        <v>0</v>
      </c>
      <c r="R85" s="212">
        <f>COUNTIFS(JAN!R15:R5000,"NO")</f>
        <v>0</v>
      </c>
      <c r="S85" s="212">
        <f>COUNTIFS(FEB!R15:R5000,"NO")</f>
        <v>0</v>
      </c>
      <c r="T85" s="212">
        <f>COUNTIFS(MAR!R16:R5001,"YES")</f>
        <v>0</v>
      </c>
      <c r="U85" s="212">
        <f>COUNTIFS(APR!R15:R5000,"NO")</f>
        <v>0</v>
      </c>
      <c r="V85" s="212">
        <f>COUNTIFS(MAY!R15:R5000,"NO")</f>
        <v>7</v>
      </c>
      <c r="W85" s="212">
        <f>COUNTIFS(JUNE!R15:R5000,"NO")</f>
        <v>0</v>
      </c>
      <c r="X85" s="212">
        <f>SUM(J85:W85)</f>
        <v>9</v>
      </c>
    </row>
    <row r="86" spans="1:24" ht="30" customHeight="1" x14ac:dyDescent="0.3">
      <c r="A86" s="539" t="s">
        <v>202</v>
      </c>
      <c r="B86" s="540"/>
      <c r="C86" s="540"/>
      <c r="D86" s="540"/>
      <c r="E86" s="540"/>
      <c r="F86" s="540"/>
      <c r="G86" s="540"/>
      <c r="H86" s="540"/>
      <c r="I86" s="540"/>
      <c r="J86" s="541"/>
      <c r="K86" s="542"/>
      <c r="L86" s="214">
        <f t="shared" ref="L86:W86" si="5">SUM(L84:L85)</f>
        <v>2</v>
      </c>
      <c r="M86" s="214">
        <f t="shared" si="5"/>
        <v>0</v>
      </c>
      <c r="N86" s="214">
        <f t="shared" si="5"/>
        <v>0</v>
      </c>
      <c r="O86" s="214">
        <f t="shared" si="5"/>
        <v>0</v>
      </c>
      <c r="P86" s="214">
        <f t="shared" si="5"/>
        <v>0</v>
      </c>
      <c r="Q86" s="214">
        <f t="shared" si="5"/>
        <v>0</v>
      </c>
      <c r="R86" s="214">
        <f t="shared" si="5"/>
        <v>0</v>
      </c>
      <c r="S86" s="214">
        <f t="shared" si="5"/>
        <v>0</v>
      </c>
      <c r="T86" s="214">
        <f t="shared" si="5"/>
        <v>0</v>
      </c>
      <c r="U86" s="214">
        <f t="shared" si="5"/>
        <v>0</v>
      </c>
      <c r="V86" s="214">
        <f t="shared" si="5"/>
        <v>10</v>
      </c>
      <c r="W86" s="214">
        <f t="shared" si="5"/>
        <v>0</v>
      </c>
      <c r="X86" s="238">
        <f>SUM(X84:X85)/12</f>
        <v>0.77083333333333337</v>
      </c>
    </row>
    <row r="87" spans="1:24" ht="30" customHeight="1" x14ac:dyDescent="0.25">
      <c r="A87" s="501" t="s">
        <v>203</v>
      </c>
      <c r="B87" s="502"/>
      <c r="C87" s="502"/>
      <c r="D87" s="502"/>
      <c r="E87" s="502"/>
      <c r="F87" s="502"/>
      <c r="G87" s="502"/>
      <c r="H87" s="502"/>
      <c r="I87" s="502"/>
      <c r="J87" s="519"/>
      <c r="K87" s="520"/>
      <c r="L87" s="215" t="s">
        <v>153</v>
      </c>
      <c r="M87" s="215" t="s">
        <v>154</v>
      </c>
      <c r="N87" s="215" t="s">
        <v>155</v>
      </c>
      <c r="O87" s="215" t="s">
        <v>156</v>
      </c>
      <c r="P87" s="215" t="s">
        <v>157</v>
      </c>
      <c r="Q87" s="215" t="s">
        <v>158</v>
      </c>
      <c r="R87" s="215" t="s">
        <v>159</v>
      </c>
      <c r="S87" s="215" t="s">
        <v>160</v>
      </c>
      <c r="T87" s="215" t="s">
        <v>161</v>
      </c>
      <c r="U87" s="215" t="s">
        <v>162</v>
      </c>
      <c r="V87" s="215" t="s">
        <v>163</v>
      </c>
      <c r="W87" s="215" t="s">
        <v>164</v>
      </c>
      <c r="X87" s="251" t="s">
        <v>355</v>
      </c>
    </row>
    <row r="88" spans="1:24" ht="24.95" customHeight="1" x14ac:dyDescent="0.25">
      <c r="A88" s="513" t="s">
        <v>93</v>
      </c>
      <c r="B88" s="514"/>
      <c r="C88" s="514"/>
      <c r="D88" s="514"/>
      <c r="E88" s="514"/>
      <c r="F88" s="514"/>
      <c r="G88" s="514"/>
      <c r="H88" s="514"/>
      <c r="I88" s="515"/>
      <c r="J88" s="516"/>
      <c r="K88" s="517"/>
      <c r="L88" s="252">
        <f>COUNTIFS(JULY!U15:U5000,"Independently working")</f>
        <v>0</v>
      </c>
      <c r="M88" s="252">
        <f>COUNTIFS(AUG!U15:U5000,"Independently working")</f>
        <v>0</v>
      </c>
      <c r="N88" s="252">
        <f>COUNTIFS(SEPT!U15:U5000,"Independently working")</f>
        <v>0</v>
      </c>
      <c r="O88" s="252">
        <f>COUNTIFS(OCT!U15:U5000,"Independently working")</f>
        <v>0</v>
      </c>
      <c r="P88" s="252">
        <f>COUNTIFS(NOV!U15:U5000,"Independently working")</f>
        <v>0</v>
      </c>
      <c r="Q88" s="252">
        <f>COUNTIFS(DEC!U15:U5000,"Independently working")</f>
        <v>0</v>
      </c>
      <c r="R88" s="253">
        <f>COUNTIFS(JAN!U15:U5000,"Independently working")</f>
        <v>0</v>
      </c>
      <c r="S88" s="253">
        <f>COUNTIFS(FEB!U15:U5000,"Independently working")</f>
        <v>0</v>
      </c>
      <c r="T88" s="253">
        <f>COUNTIFS(MAR!U15:U5000,"Independently working")</f>
        <v>0</v>
      </c>
      <c r="U88" s="253">
        <f>COUNTIFS(APR!U15:U5000,"Independently working")</f>
        <v>0</v>
      </c>
      <c r="V88" s="253">
        <f>COUNTIFS(MAY!U15:U5000,"Independently working")</f>
        <v>2</v>
      </c>
      <c r="W88" s="253">
        <f>COUNTIFS(JUNE!U15:U5000,"Independently working")</f>
        <v>0</v>
      </c>
      <c r="X88" s="253">
        <f t="shared" ref="X88:X93" si="6">SUM(J88:W88)/12</f>
        <v>0.16666666666666666</v>
      </c>
    </row>
    <row r="89" spans="1:24" ht="24.95" customHeight="1" x14ac:dyDescent="0.25">
      <c r="A89" s="513" t="s">
        <v>94</v>
      </c>
      <c r="B89" s="514"/>
      <c r="C89" s="514"/>
      <c r="D89" s="514"/>
      <c r="E89" s="514"/>
      <c r="F89" s="514"/>
      <c r="G89" s="514"/>
      <c r="H89" s="514"/>
      <c r="I89" s="515"/>
      <c r="J89" s="516"/>
      <c r="K89" s="517"/>
      <c r="L89" s="252">
        <f>COUNTIFS(JULY!U15:U5000,"Integrated with employer providing all supports (natural/internal)")</f>
        <v>0</v>
      </c>
      <c r="M89" s="252">
        <f>COUNTIFS(AUG!U15:U5000,"Integrated with employer providing all supports (natural/internal)")</f>
        <v>0</v>
      </c>
      <c r="N89" s="252">
        <f>COUNTIFS(SEPT!U15:U5000,"Integrated with employer providing all supports (natural/internal)")</f>
        <v>0</v>
      </c>
      <c r="O89" s="252">
        <f>COUNTIFS(OCT!U15:U5000,"Integrated with employer providing all supports (natural/internal)")</f>
        <v>0</v>
      </c>
      <c r="P89" s="252">
        <f>COUNTIFS(NOV!U15:U5000,"Integrated with employer providing all supports (natural/internal)")</f>
        <v>0</v>
      </c>
      <c r="Q89" s="252">
        <f>COUNTIFS(DEC!U15:U5000,"Integrated with employer providing all supports (natural/internal)")</f>
        <v>0</v>
      </c>
      <c r="R89" s="253">
        <f>COUNTIFS(JAN!U15:U5000,"Integrated with employer providing all supports (natural/internal)")</f>
        <v>0</v>
      </c>
      <c r="S89" s="253">
        <f>COUNTIFS(FEB!U15:U5000,"Integrated with employer providing all supports (natural/internal)")</f>
        <v>0</v>
      </c>
      <c r="T89" s="253">
        <f>COUNTIFS(MAR!U15:UU5000,"Integrated with employer providing all supports (natural/internal)")</f>
        <v>0</v>
      </c>
      <c r="U89" s="253">
        <f>COUNTIFS(APR!U15:U5000,"Integrated with employer providing all supports (natural/internal)")</f>
        <v>0</v>
      </c>
      <c r="V89" s="253">
        <f>COUNTIFS(MAY!U15:U5000,"Integrated with employer providing all supports (natural/internal)")</f>
        <v>1</v>
      </c>
      <c r="W89" s="253">
        <f>COUNTIFS(JUNE!U15:U5000,"Integrated with employer providing all supports (natural/internal)")</f>
        <v>0</v>
      </c>
      <c r="X89" s="253">
        <f t="shared" si="6"/>
        <v>8.3333333333333329E-2</v>
      </c>
    </row>
    <row r="90" spans="1:24" ht="24.95" customHeight="1" x14ac:dyDescent="0.25">
      <c r="A90" s="513" t="s">
        <v>96</v>
      </c>
      <c r="B90" s="514"/>
      <c r="C90" s="514"/>
      <c r="D90" s="514"/>
      <c r="E90" s="514"/>
      <c r="F90" s="514"/>
      <c r="G90" s="514"/>
      <c r="H90" s="514"/>
      <c r="I90" s="515"/>
      <c r="J90" s="516"/>
      <c r="K90" s="517"/>
      <c r="L90" s="252">
        <f>COUNTIFS(JULY!U15:U5000,"Partial support ")</f>
        <v>0</v>
      </c>
      <c r="M90" s="252">
        <f>COUNTIFS(AUG!U15:U5000,"Partial support ")</f>
        <v>0</v>
      </c>
      <c r="N90" s="252">
        <f>COUNTIFS(SEPT!U15:U5000,"Partial support ")</f>
        <v>0</v>
      </c>
      <c r="O90" s="252">
        <f>COUNTIFS(OCT!U15:U5000,"Partial support ")</f>
        <v>0</v>
      </c>
      <c r="P90" s="252">
        <f>COUNTIFS(NOV!U15:U5000,"Partial support ")</f>
        <v>0</v>
      </c>
      <c r="Q90" s="252">
        <f>COUNTIFS(DEC!U15:U5000,"Partial support ")</f>
        <v>0</v>
      </c>
      <c r="R90" s="253">
        <f>COUNTIFS(JAN!U15:U5000,"Partial support ")</f>
        <v>0</v>
      </c>
      <c r="S90" s="253">
        <f>COUNTIFS(FEB!U15:U5000,"Partial support ")</f>
        <v>0</v>
      </c>
      <c r="T90" s="253">
        <f>COUNTIFS(MAR!U15:U5000,"Partial support ")</f>
        <v>0</v>
      </c>
      <c r="U90" s="253">
        <f>COUNTIFS(APR!U15:U5000,"Partial support ")</f>
        <v>0</v>
      </c>
      <c r="V90" s="253">
        <f>COUNTIFS(MAY!U15:U5000,"Partial support ")</f>
        <v>3</v>
      </c>
      <c r="W90" s="253">
        <f>COUNTIFS(JUNE!U15:U5000,"Partial support ")</f>
        <v>0</v>
      </c>
      <c r="X90" s="253">
        <f t="shared" si="6"/>
        <v>0.25</v>
      </c>
    </row>
    <row r="91" spans="1:24" ht="24.95" customHeight="1" x14ac:dyDescent="0.25">
      <c r="A91" s="513" t="s">
        <v>98</v>
      </c>
      <c r="B91" s="514"/>
      <c r="C91" s="514"/>
      <c r="D91" s="514"/>
      <c r="E91" s="514"/>
      <c r="F91" s="514"/>
      <c r="G91" s="514"/>
      <c r="H91" s="514"/>
      <c r="I91" s="515"/>
      <c r="J91" s="516"/>
      <c r="K91" s="517"/>
      <c r="L91" s="252">
        <f>COUNTIFS(JULY!U15:U5000,"Supported Employment staff always present.")</f>
        <v>2</v>
      </c>
      <c r="M91" s="252">
        <f>COUNTIFS(AUG!U15:U5000,"Supported Employment staff always present.")</f>
        <v>0</v>
      </c>
      <c r="N91" s="252">
        <f>COUNTIFS(SEPT!U15:U5000,"Supported Employment staff always present.")</f>
        <v>0</v>
      </c>
      <c r="O91" s="252">
        <f>COUNTIFS(OCT!U15:U5000,"Supported Employment staff always present.")</f>
        <v>0</v>
      </c>
      <c r="P91" s="252">
        <f>COUNTIFS(NOV!U15:U5000,"Supported Employment staff always present.")</f>
        <v>0</v>
      </c>
      <c r="Q91" s="252">
        <f>COUNTIFS(DEC!U15:U5000,"Supported Employment staff always present.")</f>
        <v>0</v>
      </c>
      <c r="R91" s="253">
        <f>COUNTIFS(JAN!U15:U5000,"Supported Employment staff always present.")</f>
        <v>0</v>
      </c>
      <c r="S91" s="253">
        <f>COUNTIFS(FEB!U15:U5000,"Supported Employment staff always present.")</f>
        <v>0</v>
      </c>
      <c r="T91" s="253">
        <f>COUNTIFS(MAR!U15:U5000,"Supported Employment staff always present.")</f>
        <v>0</v>
      </c>
      <c r="U91" s="253">
        <f>COUNTIFS(APR!U15:U5000,"Supported Employment staff always present.")</f>
        <v>0</v>
      </c>
      <c r="V91" s="253">
        <f>COUNTIFS(MAY!U15:U5000,"Supported Employment staff always present.")</f>
        <v>6</v>
      </c>
      <c r="W91" s="253">
        <f>COUNTIFS(JUNE!U15:U5000,"Supported Employment staff always present.")</f>
        <v>0</v>
      </c>
      <c r="X91" s="253">
        <f t="shared" si="6"/>
        <v>0.66666666666666663</v>
      </c>
    </row>
    <row r="92" spans="1:24" ht="24.95" customHeight="1" x14ac:dyDescent="0.25">
      <c r="A92" s="513" t="s">
        <v>99</v>
      </c>
      <c r="B92" s="514"/>
      <c r="C92" s="514"/>
      <c r="D92" s="514"/>
      <c r="E92" s="514"/>
      <c r="F92" s="514"/>
      <c r="G92" s="514"/>
      <c r="H92" s="514"/>
      <c r="I92" s="515"/>
      <c r="J92" s="516"/>
      <c r="K92" s="517"/>
      <c r="L92" s="252">
        <f>COUNTIFS(JULY!U15:U5000,"Accommodations provided at worksite")</f>
        <v>0</v>
      </c>
      <c r="M92" s="252">
        <f>COUNTIFS(AUG!U15:U5000,"Accommodations provided at worksite")</f>
        <v>0</v>
      </c>
      <c r="N92" s="252">
        <f>COUNTIFS(SEPT!U15:U5000,"Accommodations provided at worksite")</f>
        <v>0</v>
      </c>
      <c r="O92" s="252">
        <f>COUNTIFS(OCT!U15:U5000,"Accommodations provided at worksite")</f>
        <v>0</v>
      </c>
      <c r="P92" s="252">
        <f>COUNTIFS(NOV!U15:U5000,"Accommodations provided at worksite")</f>
        <v>0</v>
      </c>
      <c r="Q92" s="252">
        <f>COUNTIFS(DEC!U15:U5000,"Accommodations provided at worksite")</f>
        <v>0</v>
      </c>
      <c r="R92" s="253">
        <f>COUNTIFS(JAN!U15:U5000,"Accommodations provided at worksite")</f>
        <v>0</v>
      </c>
      <c r="S92" s="253">
        <f>COUNTIFS(FEB!U15:U5000,"Accommodations provided at worksite")</f>
        <v>0</v>
      </c>
      <c r="T92" s="253">
        <f>COUNTIFS(MAR!U15:U5000,"Accommodations provided at worksite")</f>
        <v>0</v>
      </c>
      <c r="U92" s="253">
        <f>COUNTIFS(APR!U15:U5000,"Accommodations provided at worksite")</f>
        <v>0</v>
      </c>
      <c r="V92" s="253">
        <f>COUNTIFS(MAY!U15:U5000,"Accommodations provided at worksite")</f>
        <v>0</v>
      </c>
      <c r="W92" s="253">
        <f>COUNTIFS(JUNE!U15:U5000,"Accommodations provided at worksite")</f>
        <v>0</v>
      </c>
      <c r="X92" s="253">
        <f t="shared" si="6"/>
        <v>0</v>
      </c>
    </row>
    <row r="93" spans="1:24" ht="24.95" customHeight="1" x14ac:dyDescent="0.25">
      <c r="A93" s="513" t="s">
        <v>100</v>
      </c>
      <c r="B93" s="514"/>
      <c r="C93" s="514"/>
      <c r="D93" s="514"/>
      <c r="E93" s="514"/>
      <c r="F93" s="514"/>
      <c r="G93" s="514"/>
      <c r="H93" s="514"/>
      <c r="I93" s="515"/>
      <c r="J93" s="516"/>
      <c r="K93" s="517"/>
      <c r="L93" s="252">
        <f>COUNTIFS(JULY!U15:U5000,"Group/enclave work situation")</f>
        <v>0</v>
      </c>
      <c r="M93" s="252">
        <f>COUNTIFS(AUG!U15:U5000,"Group/enclave work situation")</f>
        <v>0</v>
      </c>
      <c r="N93" s="252">
        <f>COUNTIFS(SEPT!U15:U5000,"Group/enclave work situation")</f>
        <v>0</v>
      </c>
      <c r="O93" s="252">
        <f>COUNTIFS(OCT!U15:U5000,"Group/enclave work situation")</f>
        <v>0</v>
      </c>
      <c r="P93" s="252">
        <f>COUNTIFS(NOV!U15:U5000,"Group/enclave work situation")</f>
        <v>0</v>
      </c>
      <c r="Q93" s="252">
        <f>COUNTIFS(DEC!U15:U5000,"Group/enclave work situation")</f>
        <v>0</v>
      </c>
      <c r="R93" s="253">
        <f>COUNTIFS(JAN!U15:U5000,"Group/enclave work situation")</f>
        <v>0</v>
      </c>
      <c r="S93" s="253">
        <f>COUNTIFS(FEB!U15:U5000,"Group/enclave work situation")</f>
        <v>0</v>
      </c>
      <c r="T93" s="253">
        <f>COUNTIFS(MAR!U15:U5000,"Group/enclave work situation")</f>
        <v>0</v>
      </c>
      <c r="U93" s="253">
        <f>COUNTIFS(APR!U15:U5000,"Group/enclave work situation")</f>
        <v>0</v>
      </c>
      <c r="V93" s="253">
        <f>COUNTIFS(MAY!U15:U5000,"Group/enclave work situation")</f>
        <v>1</v>
      </c>
      <c r="W93" s="253">
        <f>COUNTIFS(JUNE!U15:U5000,"Group/enclave work situation")</f>
        <v>0</v>
      </c>
      <c r="X93" s="253">
        <f t="shared" si="6"/>
        <v>8.3333333333333329E-2</v>
      </c>
    </row>
    <row r="94" spans="1:24" ht="30" customHeight="1" x14ac:dyDescent="0.3">
      <c r="A94" s="511" t="s">
        <v>204</v>
      </c>
      <c r="B94" s="512"/>
      <c r="C94" s="512"/>
      <c r="D94" s="512"/>
      <c r="E94" s="512"/>
      <c r="F94" s="512"/>
      <c r="G94" s="512"/>
      <c r="H94" s="512"/>
      <c r="I94" s="512"/>
      <c r="J94" s="531"/>
      <c r="K94" s="532"/>
      <c r="L94" s="216">
        <f t="shared" ref="L94:X94" si="7">SUM(L88:L93)</f>
        <v>2</v>
      </c>
      <c r="M94" s="216">
        <f t="shared" si="7"/>
        <v>0</v>
      </c>
      <c r="N94" s="216">
        <f t="shared" si="7"/>
        <v>0</v>
      </c>
      <c r="O94" s="216">
        <f t="shared" si="7"/>
        <v>0</v>
      </c>
      <c r="P94" s="216">
        <f t="shared" si="7"/>
        <v>0</v>
      </c>
      <c r="Q94" s="216">
        <f t="shared" si="7"/>
        <v>0</v>
      </c>
      <c r="R94" s="216">
        <f t="shared" si="7"/>
        <v>0</v>
      </c>
      <c r="S94" s="216">
        <f t="shared" si="7"/>
        <v>0</v>
      </c>
      <c r="T94" s="216">
        <f t="shared" si="7"/>
        <v>0</v>
      </c>
      <c r="U94" s="216">
        <f t="shared" si="7"/>
        <v>0</v>
      </c>
      <c r="V94" s="216">
        <f t="shared" si="7"/>
        <v>13</v>
      </c>
      <c r="W94" s="216">
        <f t="shared" si="7"/>
        <v>0</v>
      </c>
      <c r="X94" s="239">
        <f t="shared" si="7"/>
        <v>1.2499999999999998</v>
      </c>
    </row>
    <row r="95" spans="1:24" x14ac:dyDescent="0.25">
      <c r="A95" s="518" t="s">
        <v>205</v>
      </c>
      <c r="B95" s="518"/>
      <c r="C95" s="518"/>
      <c r="D95" s="518"/>
      <c r="E95" s="518"/>
      <c r="F95" s="518"/>
      <c r="G95" s="518"/>
      <c r="H95" s="518"/>
      <c r="I95" s="518"/>
      <c r="J95" s="518"/>
      <c r="K95" s="518"/>
      <c r="L95" s="518"/>
      <c r="M95" s="518"/>
      <c r="N95" s="518"/>
      <c r="O95" s="518"/>
      <c r="P95" s="518"/>
      <c r="Q95" s="518"/>
      <c r="R95" s="518"/>
      <c r="S95" s="518"/>
      <c r="T95" s="518"/>
      <c r="U95" s="518"/>
      <c r="V95" s="518"/>
      <c r="W95" s="518"/>
      <c r="X95" s="518"/>
    </row>
    <row r="96" spans="1:24" ht="30" customHeight="1" x14ac:dyDescent="0.25">
      <c r="A96" s="509" t="s">
        <v>206</v>
      </c>
      <c r="B96" s="510"/>
      <c r="C96" s="510"/>
      <c r="D96" s="510"/>
      <c r="E96" s="510"/>
      <c r="F96" s="510"/>
      <c r="G96" s="510"/>
      <c r="H96" s="510"/>
      <c r="I96" s="510"/>
      <c r="J96" s="519"/>
      <c r="K96" s="520"/>
      <c r="L96" s="521" t="s">
        <v>165</v>
      </c>
      <c r="M96" s="522"/>
      <c r="N96" s="254"/>
      <c r="O96" s="255"/>
      <c r="P96" s="255"/>
      <c r="Q96" s="255"/>
      <c r="R96" s="255"/>
      <c r="S96" s="255"/>
      <c r="T96" s="255"/>
      <c r="U96" s="255"/>
      <c r="V96" s="255"/>
      <c r="W96" s="255"/>
    </row>
    <row r="97" spans="1:24" ht="20.100000000000001" customHeight="1" x14ac:dyDescent="0.25">
      <c r="A97" s="525" t="s">
        <v>207</v>
      </c>
      <c r="B97" s="526"/>
      <c r="C97" s="526"/>
      <c r="D97" s="526"/>
      <c r="E97" s="526"/>
      <c r="F97" s="526"/>
      <c r="G97" s="526"/>
      <c r="H97" s="526"/>
      <c r="I97" s="526"/>
      <c r="J97" s="527"/>
      <c r="K97" s="528"/>
      <c r="L97" s="690">
        <f>COUNTIFS('BUSINESS CONTACTS'!E13:E5000,"Prior Contact ")</f>
        <v>0</v>
      </c>
      <c r="M97" s="691"/>
      <c r="N97" s="256"/>
      <c r="O97" s="257"/>
      <c r="P97" s="257"/>
      <c r="Q97" s="257"/>
      <c r="R97" s="257"/>
      <c r="S97" s="257"/>
      <c r="T97" s="257"/>
      <c r="U97" s="257"/>
      <c r="V97" s="257"/>
      <c r="W97" s="257"/>
    </row>
    <row r="98" spans="1:24" ht="20.100000000000001" customHeight="1" x14ac:dyDescent="0.25">
      <c r="A98" s="525" t="s">
        <v>97</v>
      </c>
      <c r="B98" s="526"/>
      <c r="C98" s="526"/>
      <c r="D98" s="526"/>
      <c r="E98" s="526"/>
      <c r="F98" s="526"/>
      <c r="G98" s="526"/>
      <c r="H98" s="526"/>
      <c r="I98" s="526"/>
      <c r="J98" s="527"/>
      <c r="K98" s="528"/>
      <c r="L98" s="690">
        <f>COUNTIFS('BUSINESS CONTACTS'!E13:E5000,"New Contact ")</f>
        <v>0</v>
      </c>
      <c r="M98" s="691"/>
      <c r="N98" s="256"/>
      <c r="O98" s="257"/>
      <c r="P98" s="257"/>
      <c r="Q98" s="257"/>
      <c r="R98" s="257"/>
      <c r="S98" s="257"/>
      <c r="T98" s="257"/>
      <c r="U98" s="257"/>
      <c r="V98" s="257"/>
      <c r="W98" s="257"/>
    </row>
    <row r="99" spans="1:24" ht="30" customHeight="1" x14ac:dyDescent="0.25">
      <c r="A99" s="523" t="s">
        <v>208</v>
      </c>
      <c r="B99" s="524"/>
      <c r="C99" s="524"/>
      <c r="D99" s="524"/>
      <c r="E99" s="524"/>
      <c r="F99" s="524"/>
      <c r="G99" s="524"/>
      <c r="H99" s="524"/>
      <c r="I99" s="524"/>
      <c r="J99" s="684"/>
      <c r="K99" s="685"/>
      <c r="L99" s="688" t="s">
        <v>165</v>
      </c>
      <c r="M99" s="689"/>
      <c r="N99" s="254"/>
      <c r="O99" s="255"/>
      <c r="P99" s="255"/>
      <c r="Q99" s="255"/>
      <c r="R99" s="255"/>
      <c r="S99" s="255"/>
      <c r="T99" s="255"/>
      <c r="U99" s="255"/>
      <c r="V99" s="255"/>
      <c r="W99" s="255"/>
    </row>
    <row r="100" spans="1:24" ht="20.100000000000001" customHeight="1" x14ac:dyDescent="0.25">
      <c r="A100" s="507" t="s">
        <v>52</v>
      </c>
      <c r="B100" s="508"/>
      <c r="C100" s="508"/>
      <c r="D100" s="508"/>
      <c r="E100" s="508"/>
      <c r="F100" s="508"/>
      <c r="G100" s="508"/>
      <c r="H100" s="508"/>
      <c r="I100" s="508"/>
      <c r="J100" s="527"/>
      <c r="K100" s="528"/>
      <c r="L100" s="529">
        <f>COUNTIFS('BUSINESS CONTACTS'!E13:E5000,"Prior Contact ",'BUSINESS CONTACTS'!H13:H5000,"YES")</f>
        <v>0</v>
      </c>
      <c r="M100" s="530"/>
      <c r="N100" s="256"/>
      <c r="O100" s="257"/>
      <c r="P100" s="257"/>
      <c r="Q100" s="257"/>
      <c r="R100" s="257"/>
      <c r="S100" s="257"/>
      <c r="T100" s="257"/>
      <c r="U100" s="257"/>
      <c r="V100" s="257"/>
      <c r="W100" s="257"/>
    </row>
    <row r="101" spans="1:24" ht="20.100000000000001" customHeight="1" x14ac:dyDescent="0.25">
      <c r="A101" s="507" t="s">
        <v>43</v>
      </c>
      <c r="B101" s="508"/>
      <c r="C101" s="508"/>
      <c r="D101" s="508"/>
      <c r="E101" s="508"/>
      <c r="F101" s="508"/>
      <c r="G101" s="508"/>
      <c r="H101" s="508"/>
      <c r="I101" s="508"/>
      <c r="J101" s="527"/>
      <c r="K101" s="528"/>
      <c r="L101" s="529">
        <f>COUNTIFS('BUSINESS CONTACTS'!E13:E5000,"Prior Contact ",'BUSINESS CONTACTS'!H13:H5000,"NO")</f>
        <v>0</v>
      </c>
      <c r="M101" s="530"/>
      <c r="N101" s="256"/>
      <c r="O101" s="257"/>
      <c r="P101" s="257"/>
      <c r="Q101" s="257"/>
      <c r="R101" s="257"/>
      <c r="S101" s="257"/>
      <c r="T101" s="257"/>
      <c r="U101" s="257"/>
      <c r="V101" s="257"/>
      <c r="W101" s="257"/>
    </row>
    <row r="102" spans="1:24" ht="30" customHeight="1" x14ac:dyDescent="0.25">
      <c r="A102" s="505" t="s">
        <v>209</v>
      </c>
      <c r="B102" s="506"/>
      <c r="C102" s="506"/>
      <c r="D102" s="506"/>
      <c r="E102" s="506"/>
      <c r="F102" s="506"/>
      <c r="G102" s="506"/>
      <c r="H102" s="506"/>
      <c r="I102" s="506"/>
      <c r="J102" s="684"/>
      <c r="K102" s="685"/>
      <c r="L102" s="686" t="s">
        <v>165</v>
      </c>
      <c r="M102" s="687"/>
      <c r="N102" s="254"/>
      <c r="O102" s="255"/>
      <c r="P102" s="255"/>
      <c r="Q102" s="255"/>
      <c r="R102" s="255"/>
      <c r="S102" s="255"/>
      <c r="T102" s="255"/>
      <c r="U102" s="255"/>
      <c r="V102" s="255"/>
      <c r="W102" s="255"/>
    </row>
    <row r="103" spans="1:24" ht="20.100000000000001" customHeight="1" x14ac:dyDescent="0.25">
      <c r="A103" s="503" t="s">
        <v>52</v>
      </c>
      <c r="B103" s="504"/>
      <c r="C103" s="504"/>
      <c r="D103" s="504"/>
      <c r="E103" s="504"/>
      <c r="F103" s="504"/>
      <c r="G103" s="504"/>
      <c r="H103" s="504"/>
      <c r="I103" s="504"/>
      <c r="J103" s="680"/>
      <c r="K103" s="681"/>
      <c r="L103" s="682">
        <f>COUNTIFS('BUSINESS CONTACTS'!E13:E5000,"New Contact", 'BUSINESS CONTACTS'!H13:H5000,"YES")</f>
        <v>0</v>
      </c>
      <c r="M103" s="683"/>
      <c r="N103" s="256"/>
      <c r="O103" s="257"/>
      <c r="P103" s="257"/>
      <c r="Q103" s="257"/>
      <c r="R103" s="257"/>
      <c r="S103" s="257"/>
      <c r="T103" s="257"/>
      <c r="U103" s="257"/>
      <c r="V103" s="257"/>
      <c r="W103" s="257"/>
    </row>
    <row r="104" spans="1:24" ht="20.100000000000001" customHeight="1" x14ac:dyDescent="0.25">
      <c r="A104" s="503" t="s">
        <v>43</v>
      </c>
      <c r="B104" s="504"/>
      <c r="C104" s="504"/>
      <c r="D104" s="504"/>
      <c r="E104" s="504"/>
      <c r="F104" s="504"/>
      <c r="G104" s="504"/>
      <c r="H104" s="504"/>
      <c r="I104" s="504"/>
      <c r="J104" s="680"/>
      <c r="K104" s="681"/>
      <c r="L104" s="682">
        <f>COUNTIFS('BUSINESS CONTACTS'!E13:E5000,"New Contact", 'BUSINESS CONTACTS'!H13:H5000,"NO")</f>
        <v>0</v>
      </c>
      <c r="M104" s="683"/>
      <c r="N104" s="256"/>
      <c r="O104" s="257"/>
      <c r="P104" s="257"/>
      <c r="Q104" s="257"/>
      <c r="R104" s="257"/>
      <c r="S104" s="257"/>
      <c r="T104" s="257"/>
      <c r="U104" s="257"/>
      <c r="V104" s="257"/>
      <c r="W104" s="257"/>
    </row>
    <row r="105" spans="1:24" x14ac:dyDescent="0.25">
      <c r="A105" s="197" t="s">
        <v>221</v>
      </c>
      <c r="B105" s="197"/>
      <c r="C105" s="197"/>
      <c r="D105" s="197"/>
      <c r="E105" s="197"/>
      <c r="F105" s="197"/>
      <c r="G105" s="197"/>
      <c r="H105" s="197"/>
      <c r="I105" s="197"/>
      <c r="J105" s="197"/>
      <c r="K105" s="197"/>
      <c r="L105" s="197"/>
      <c r="M105" s="197"/>
      <c r="N105" s="259"/>
      <c r="O105" s="258"/>
      <c r="P105" s="258"/>
      <c r="Q105" s="258"/>
      <c r="R105" s="258"/>
      <c r="S105" s="258"/>
      <c r="T105" s="258"/>
      <c r="U105" s="258"/>
      <c r="V105" s="258"/>
      <c r="W105" s="258"/>
      <c r="X105" s="258"/>
    </row>
    <row r="106" spans="1:24" ht="20.100000000000001" customHeight="1" x14ac:dyDescent="0.25">
      <c r="A106" s="501" t="s">
        <v>222</v>
      </c>
      <c r="B106" s="502"/>
      <c r="C106" s="502"/>
      <c r="D106" s="502"/>
      <c r="E106" s="502"/>
      <c r="F106" s="502"/>
      <c r="G106" s="502"/>
      <c r="H106" s="502"/>
      <c r="I106" s="502"/>
      <c r="J106" s="519"/>
      <c r="K106" s="520"/>
      <c r="L106" s="676"/>
      <c r="M106" s="677"/>
      <c r="N106" s="260"/>
      <c r="O106" s="261"/>
      <c r="P106" s="261"/>
      <c r="Q106" s="261"/>
      <c r="R106" s="261"/>
      <c r="S106" s="261"/>
      <c r="T106" s="261"/>
      <c r="U106" s="261"/>
      <c r="V106" s="261"/>
      <c r="W106" s="261"/>
      <c r="X106" s="261"/>
    </row>
    <row r="107" spans="1:24" ht="20.100000000000001" customHeight="1" x14ac:dyDescent="0.25">
      <c r="A107" s="498" t="s">
        <v>217</v>
      </c>
      <c r="B107" s="499"/>
      <c r="C107" s="499"/>
      <c r="D107" s="499"/>
      <c r="E107" s="499"/>
      <c r="F107" s="499"/>
      <c r="G107" s="499"/>
      <c r="H107" s="499"/>
      <c r="I107" s="500"/>
      <c r="J107" s="516"/>
      <c r="K107" s="517"/>
      <c r="L107" s="678">
        <f>COUNTIFS(PRESENTATIONS!B13:B5000,"&gt;=01/01/2010")</f>
        <v>0</v>
      </c>
      <c r="M107" s="679"/>
      <c r="N107" s="262"/>
      <c r="O107" s="263"/>
      <c r="P107" s="263"/>
      <c r="Q107" s="263"/>
      <c r="R107" s="263"/>
      <c r="S107" s="263"/>
      <c r="T107" s="263"/>
      <c r="U107" s="263"/>
      <c r="V107" s="263"/>
      <c r="W107" s="263"/>
      <c r="X107" s="263"/>
    </row>
  </sheetData>
  <mergeCells count="209">
    <mergeCell ref="A4:I4"/>
    <mergeCell ref="A5:I5"/>
    <mergeCell ref="J4:O4"/>
    <mergeCell ref="J5:O5"/>
    <mergeCell ref="P4:U4"/>
    <mergeCell ref="P5:U5"/>
    <mergeCell ref="P6:U6"/>
    <mergeCell ref="P7:U7"/>
    <mergeCell ref="P8:U8"/>
    <mergeCell ref="J6:O7"/>
    <mergeCell ref="V4:Y4"/>
    <mergeCell ref="V5:Y5"/>
    <mergeCell ref="V6:Y6"/>
    <mergeCell ref="V7:Y7"/>
    <mergeCell ref="V8:Y8"/>
    <mergeCell ref="A6:I7"/>
    <mergeCell ref="J107:K107"/>
    <mergeCell ref="J106:K106"/>
    <mergeCell ref="L106:M106"/>
    <mergeCell ref="L107:M107"/>
    <mergeCell ref="J103:K103"/>
    <mergeCell ref="L103:M103"/>
    <mergeCell ref="J104:K104"/>
    <mergeCell ref="L104:M104"/>
    <mergeCell ref="J102:K102"/>
    <mergeCell ref="J101:K101"/>
    <mergeCell ref="L101:M101"/>
    <mergeCell ref="L102:M102"/>
    <mergeCell ref="J99:K99"/>
    <mergeCell ref="L99:M99"/>
    <mergeCell ref="J97:K97"/>
    <mergeCell ref="L97:M97"/>
    <mergeCell ref="J98:K98"/>
    <mergeCell ref="L98:M98"/>
    <mergeCell ref="J70:K70"/>
    <mergeCell ref="J68:K68"/>
    <mergeCell ref="J66:K66"/>
    <mergeCell ref="J62:K62"/>
    <mergeCell ref="J57:K57"/>
    <mergeCell ref="A54:X54"/>
    <mergeCell ref="J55:K55"/>
    <mergeCell ref="A56:I56"/>
    <mergeCell ref="A66:I66"/>
    <mergeCell ref="A65:I65"/>
    <mergeCell ref="A63:I63"/>
    <mergeCell ref="A62:I62"/>
    <mergeCell ref="J63:K63"/>
    <mergeCell ref="J65:K65"/>
    <mergeCell ref="A70:I70"/>
    <mergeCell ref="A69:I69"/>
    <mergeCell ref="A68:I68"/>
    <mergeCell ref="A67:I67"/>
    <mergeCell ref="J67:K67"/>
    <mergeCell ref="J69:K69"/>
    <mergeCell ref="J15:L15"/>
    <mergeCell ref="A16:I16"/>
    <mergeCell ref="J14:L14"/>
    <mergeCell ref="A15:I15"/>
    <mergeCell ref="A14:I14"/>
    <mergeCell ref="J13:L13"/>
    <mergeCell ref="A11:L11"/>
    <mergeCell ref="A12:L12"/>
    <mergeCell ref="A13:I13"/>
    <mergeCell ref="J20:L20"/>
    <mergeCell ref="A21:I21"/>
    <mergeCell ref="A20:I20"/>
    <mergeCell ref="J19:L19"/>
    <mergeCell ref="J18:L18"/>
    <mergeCell ref="A19:I19"/>
    <mergeCell ref="J16:L16"/>
    <mergeCell ref="A17:L17"/>
    <mergeCell ref="A18:I18"/>
    <mergeCell ref="J25:L25"/>
    <mergeCell ref="A26:I26"/>
    <mergeCell ref="J24:L24"/>
    <mergeCell ref="A25:I25"/>
    <mergeCell ref="A24:I24"/>
    <mergeCell ref="J23:L23"/>
    <mergeCell ref="J22:L22"/>
    <mergeCell ref="A23:I23"/>
    <mergeCell ref="J21:L21"/>
    <mergeCell ref="A22:I22"/>
    <mergeCell ref="J30:L30"/>
    <mergeCell ref="A31:I31"/>
    <mergeCell ref="J29:L29"/>
    <mergeCell ref="A30:I30"/>
    <mergeCell ref="J28:L28"/>
    <mergeCell ref="A29:I29"/>
    <mergeCell ref="A28:I28"/>
    <mergeCell ref="J27:L27"/>
    <mergeCell ref="J26:L26"/>
    <mergeCell ref="A27:I27"/>
    <mergeCell ref="J35:L35"/>
    <mergeCell ref="J34:L34"/>
    <mergeCell ref="A35:I35"/>
    <mergeCell ref="J33:L33"/>
    <mergeCell ref="A34:I34"/>
    <mergeCell ref="J32:L32"/>
    <mergeCell ref="A33:I33"/>
    <mergeCell ref="A32:I32"/>
    <mergeCell ref="J31:L31"/>
    <mergeCell ref="J40:L40"/>
    <mergeCell ref="A41:I41"/>
    <mergeCell ref="A40:I40"/>
    <mergeCell ref="J39:L39"/>
    <mergeCell ref="J38:L38"/>
    <mergeCell ref="A39:I39"/>
    <mergeCell ref="J37:L37"/>
    <mergeCell ref="A38:I38"/>
    <mergeCell ref="J36:L36"/>
    <mergeCell ref="A37:I37"/>
    <mergeCell ref="A36:I36"/>
    <mergeCell ref="J45:L45"/>
    <mergeCell ref="A46:I46"/>
    <mergeCell ref="J44:L44"/>
    <mergeCell ref="A45:I45"/>
    <mergeCell ref="A44:I44"/>
    <mergeCell ref="J43:L43"/>
    <mergeCell ref="J42:L42"/>
    <mergeCell ref="A43:I43"/>
    <mergeCell ref="J41:L41"/>
    <mergeCell ref="A42:I42"/>
    <mergeCell ref="J50:L50"/>
    <mergeCell ref="A51:I51"/>
    <mergeCell ref="J49:L49"/>
    <mergeCell ref="A50:I50"/>
    <mergeCell ref="J48:L48"/>
    <mergeCell ref="A49:I49"/>
    <mergeCell ref="A48:I48"/>
    <mergeCell ref="J47:L47"/>
    <mergeCell ref="J46:L46"/>
    <mergeCell ref="A47:I47"/>
    <mergeCell ref="J53:L53"/>
    <mergeCell ref="A55:I55"/>
    <mergeCell ref="J52:L52"/>
    <mergeCell ref="A53:I53"/>
    <mergeCell ref="A52:I52"/>
    <mergeCell ref="J51:L51"/>
    <mergeCell ref="J56:K56"/>
    <mergeCell ref="A60:I60"/>
    <mergeCell ref="A59:I59"/>
    <mergeCell ref="A58:I58"/>
    <mergeCell ref="A57:I57"/>
    <mergeCell ref="J58:K58"/>
    <mergeCell ref="J60:K60"/>
    <mergeCell ref="J71:K71"/>
    <mergeCell ref="A76:I76"/>
    <mergeCell ref="A75:I75"/>
    <mergeCell ref="A74:I74"/>
    <mergeCell ref="A73:I73"/>
    <mergeCell ref="A72:I72"/>
    <mergeCell ref="J73:K73"/>
    <mergeCell ref="J75:K75"/>
    <mergeCell ref="A81:I81"/>
    <mergeCell ref="A80:I80"/>
    <mergeCell ref="A79:I79"/>
    <mergeCell ref="A78:I78"/>
    <mergeCell ref="A77:I77"/>
    <mergeCell ref="J77:K77"/>
    <mergeCell ref="J79:K79"/>
    <mergeCell ref="J81:K81"/>
    <mergeCell ref="J76:K76"/>
    <mergeCell ref="J74:K74"/>
    <mergeCell ref="J72:K72"/>
    <mergeCell ref="A71:I71"/>
    <mergeCell ref="J80:K80"/>
    <mergeCell ref="J78:K78"/>
    <mergeCell ref="A85:I85"/>
    <mergeCell ref="A84:I84"/>
    <mergeCell ref="A83:I83"/>
    <mergeCell ref="A82:I82"/>
    <mergeCell ref="J83:K83"/>
    <mergeCell ref="J85:K85"/>
    <mergeCell ref="A91:I91"/>
    <mergeCell ref="A90:I90"/>
    <mergeCell ref="A89:I89"/>
    <mergeCell ref="A88:I88"/>
    <mergeCell ref="A87:I87"/>
    <mergeCell ref="A86:I86"/>
    <mergeCell ref="J87:K87"/>
    <mergeCell ref="J89:K89"/>
    <mergeCell ref="J91:K91"/>
    <mergeCell ref="J90:K90"/>
    <mergeCell ref="J88:K88"/>
    <mergeCell ref="J86:K86"/>
    <mergeCell ref="J84:K84"/>
    <mergeCell ref="J82:K82"/>
    <mergeCell ref="A92:I92"/>
    <mergeCell ref="J93:K93"/>
    <mergeCell ref="A95:X95"/>
    <mergeCell ref="J96:K96"/>
    <mergeCell ref="L96:M96"/>
    <mergeCell ref="A100:I100"/>
    <mergeCell ref="A99:I99"/>
    <mergeCell ref="A98:I98"/>
    <mergeCell ref="A97:I97"/>
    <mergeCell ref="J100:K100"/>
    <mergeCell ref="L100:M100"/>
    <mergeCell ref="J94:K94"/>
    <mergeCell ref="J92:K92"/>
    <mergeCell ref="A107:I107"/>
    <mergeCell ref="A106:I106"/>
    <mergeCell ref="A104:I104"/>
    <mergeCell ref="A103:I103"/>
    <mergeCell ref="A102:I102"/>
    <mergeCell ref="A101:I101"/>
    <mergeCell ref="A96:I96"/>
    <mergeCell ref="A94:I94"/>
    <mergeCell ref="A93:I9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topLeftCell="A10" workbookViewId="0">
      <selection activeCell="A27" sqref="A27"/>
    </sheetView>
  </sheetViews>
  <sheetFormatPr defaultRowHeight="15" x14ac:dyDescent="0.25"/>
  <cols>
    <col min="3" max="3" width="12.28515625" customWidth="1"/>
  </cols>
  <sheetData>
    <row r="1" spans="1:18" x14ac:dyDescent="0.25">
      <c r="D1" s="104"/>
      <c r="E1" s="104"/>
    </row>
    <row r="2" spans="1:18" x14ac:dyDescent="0.25">
      <c r="A2" s="36" t="s">
        <v>47</v>
      </c>
      <c r="C2" s="36" t="s">
        <v>48</v>
      </c>
      <c r="D2" s="36" t="s">
        <v>49</v>
      </c>
      <c r="E2" s="36"/>
      <c r="F2" s="36" t="s">
        <v>128</v>
      </c>
      <c r="G2" s="37" t="s">
        <v>50</v>
      </c>
      <c r="H2" s="37"/>
      <c r="I2" s="37"/>
      <c r="J2" s="37"/>
      <c r="K2" s="37"/>
      <c r="L2" s="37"/>
      <c r="M2" s="38" t="s">
        <v>51</v>
      </c>
      <c r="N2" s="38"/>
      <c r="R2" t="s">
        <v>62</v>
      </c>
    </row>
    <row r="3" spans="1:18" x14ac:dyDescent="0.25">
      <c r="A3" s="36" t="s">
        <v>52</v>
      </c>
      <c r="C3" s="36" t="s">
        <v>53</v>
      </c>
      <c r="D3" s="36" t="s">
        <v>54</v>
      </c>
      <c r="E3" s="36"/>
      <c r="F3" s="36" t="s">
        <v>129</v>
      </c>
      <c r="G3" s="39" t="s">
        <v>55</v>
      </c>
      <c r="H3" s="39"/>
      <c r="I3" s="39"/>
      <c r="J3" s="39"/>
      <c r="K3" s="39"/>
      <c r="L3" s="39"/>
      <c r="M3" s="40" t="s">
        <v>56</v>
      </c>
      <c r="N3" s="40"/>
      <c r="R3" t="s">
        <v>50</v>
      </c>
    </row>
    <row r="4" spans="1:18" x14ac:dyDescent="0.25">
      <c r="A4" s="36" t="s">
        <v>43</v>
      </c>
      <c r="C4" s="36" t="s">
        <v>107</v>
      </c>
      <c r="D4" s="36" t="s">
        <v>57</v>
      </c>
      <c r="E4" s="36"/>
      <c r="F4" s="36"/>
      <c r="G4" s="37" t="s">
        <v>58</v>
      </c>
      <c r="H4" s="37"/>
      <c r="I4" s="37"/>
      <c r="J4" s="37"/>
      <c r="K4" s="37"/>
      <c r="L4" s="37"/>
      <c r="M4" s="37" t="s">
        <v>59</v>
      </c>
      <c r="N4" s="37"/>
      <c r="R4" t="s">
        <v>131</v>
      </c>
    </row>
    <row r="5" spans="1:18" x14ac:dyDescent="0.25">
      <c r="G5" s="39" t="s">
        <v>60</v>
      </c>
      <c r="H5" s="39"/>
      <c r="I5" s="39"/>
      <c r="J5" s="39"/>
      <c r="K5" s="39"/>
      <c r="L5" s="39"/>
      <c r="M5" s="39" t="s">
        <v>61</v>
      </c>
      <c r="N5" s="39"/>
      <c r="R5" t="s">
        <v>130</v>
      </c>
    </row>
    <row r="6" spans="1:18" x14ac:dyDescent="0.25">
      <c r="G6" s="37" t="s">
        <v>62</v>
      </c>
      <c r="H6" s="37"/>
      <c r="I6" s="37"/>
      <c r="J6" s="37"/>
      <c r="K6" s="37"/>
      <c r="L6" s="37"/>
      <c r="M6" s="36"/>
      <c r="N6" s="36"/>
      <c r="R6" t="s">
        <v>58</v>
      </c>
    </row>
    <row r="7" spans="1:18" x14ac:dyDescent="0.25">
      <c r="G7" s="39" t="s">
        <v>63</v>
      </c>
      <c r="H7" s="39"/>
      <c r="I7" s="39"/>
      <c r="J7" s="39"/>
      <c r="K7" s="39"/>
      <c r="L7" s="39"/>
      <c r="M7" s="36"/>
      <c r="N7" s="36"/>
      <c r="R7" t="s">
        <v>132</v>
      </c>
    </row>
    <row r="8" spans="1:18" x14ac:dyDescent="0.25">
      <c r="G8" s="37" t="s">
        <v>64</v>
      </c>
      <c r="H8" s="37"/>
      <c r="I8" s="37"/>
      <c r="J8" s="37"/>
      <c r="K8" s="37"/>
      <c r="L8" s="37"/>
      <c r="M8" s="36"/>
      <c r="N8" s="36"/>
      <c r="R8" t="s">
        <v>64</v>
      </c>
    </row>
    <row r="9" spans="1:18" x14ac:dyDescent="0.25">
      <c r="G9" s="37"/>
      <c r="H9" s="37"/>
      <c r="I9" s="37"/>
      <c r="J9" s="37"/>
      <c r="K9" s="37"/>
      <c r="L9" s="37"/>
    </row>
    <row r="11" spans="1:18" x14ac:dyDescent="0.25">
      <c r="A11" s="36" t="s">
        <v>65</v>
      </c>
      <c r="B11" s="36"/>
      <c r="C11" s="36"/>
      <c r="D11" s="36"/>
      <c r="R11" t="s">
        <v>56</v>
      </c>
    </row>
    <row r="12" spans="1:18" x14ac:dyDescent="0.25">
      <c r="A12" s="36" t="s">
        <v>66</v>
      </c>
      <c r="B12" s="36"/>
      <c r="C12" s="36"/>
      <c r="D12" s="36"/>
      <c r="G12" s="41" t="s">
        <v>67</v>
      </c>
      <c r="N12" s="36" t="s">
        <v>26</v>
      </c>
      <c r="O12" s="36"/>
      <c r="P12" s="36"/>
      <c r="R12" t="s">
        <v>59</v>
      </c>
    </row>
    <row r="13" spans="1:18" x14ac:dyDescent="0.25">
      <c r="A13" s="36" t="s">
        <v>68</v>
      </c>
      <c r="B13" s="36"/>
      <c r="C13" s="36"/>
      <c r="D13" s="36"/>
      <c r="G13" s="42"/>
      <c r="N13" s="36" t="s">
        <v>69</v>
      </c>
      <c r="O13" s="36"/>
      <c r="P13" s="36"/>
      <c r="R13" t="s">
        <v>61</v>
      </c>
    </row>
    <row r="14" spans="1:18" x14ac:dyDescent="0.25">
      <c r="A14" s="36" t="s">
        <v>70</v>
      </c>
      <c r="B14" s="36"/>
      <c r="C14" s="36"/>
      <c r="D14" s="36"/>
      <c r="G14" s="37" t="s">
        <v>71</v>
      </c>
      <c r="H14" s="37"/>
      <c r="I14" s="37"/>
      <c r="J14" s="37"/>
      <c r="K14" s="37"/>
      <c r="L14" s="37"/>
      <c r="N14" s="36" t="s">
        <v>72</v>
      </c>
      <c r="O14" s="36"/>
      <c r="P14" s="36"/>
    </row>
    <row r="15" spans="1:18" x14ac:dyDescent="0.25">
      <c r="A15" s="36" t="s">
        <v>73</v>
      </c>
      <c r="B15" s="36"/>
      <c r="C15" s="36"/>
      <c r="D15" s="36"/>
      <c r="G15" s="39" t="s">
        <v>74</v>
      </c>
      <c r="H15" s="39"/>
      <c r="I15" s="39"/>
      <c r="J15" s="39"/>
      <c r="K15" s="39"/>
      <c r="L15" s="39"/>
      <c r="N15" s="36" t="s">
        <v>75</v>
      </c>
      <c r="O15" s="36"/>
      <c r="P15" s="36">
        <v>2020</v>
      </c>
    </row>
    <row r="16" spans="1:18" x14ac:dyDescent="0.25">
      <c r="A16" s="36" t="s">
        <v>76</v>
      </c>
      <c r="G16" s="37" t="s">
        <v>77</v>
      </c>
      <c r="H16" s="37"/>
      <c r="I16" s="37"/>
      <c r="J16" s="37"/>
      <c r="K16" s="37"/>
      <c r="L16" s="37"/>
      <c r="N16" s="36" t="s">
        <v>78</v>
      </c>
      <c r="O16" s="36"/>
      <c r="P16" s="36">
        <v>2021</v>
      </c>
    </row>
    <row r="17" spans="1:18" x14ac:dyDescent="0.25">
      <c r="A17" s="36" t="s">
        <v>79</v>
      </c>
      <c r="G17" s="39" t="s">
        <v>80</v>
      </c>
      <c r="H17" s="39"/>
      <c r="I17" s="39"/>
      <c r="J17" s="39"/>
      <c r="K17" s="39"/>
      <c r="L17" s="39"/>
      <c r="N17" s="36" t="s">
        <v>81</v>
      </c>
      <c r="O17" s="36"/>
      <c r="P17" s="36">
        <v>2022</v>
      </c>
    </row>
    <row r="18" spans="1:18" x14ac:dyDescent="0.25">
      <c r="G18" s="37" t="s">
        <v>82</v>
      </c>
      <c r="H18" s="37"/>
      <c r="I18" s="37"/>
      <c r="J18" s="37"/>
      <c r="K18" s="37"/>
      <c r="L18" s="37"/>
      <c r="N18" s="36" t="s">
        <v>83</v>
      </c>
      <c r="O18" s="36"/>
      <c r="P18" s="36">
        <v>2023</v>
      </c>
    </row>
    <row r="19" spans="1:18" x14ac:dyDescent="0.25">
      <c r="G19" s="39"/>
      <c r="H19" s="39"/>
      <c r="I19" s="39"/>
      <c r="J19" s="39"/>
      <c r="K19" s="39"/>
      <c r="L19" s="39"/>
      <c r="N19" s="36" t="s">
        <v>143</v>
      </c>
      <c r="O19" s="36"/>
      <c r="P19" s="36">
        <v>2024</v>
      </c>
      <c r="R19" s="36"/>
    </row>
    <row r="20" spans="1:18" x14ac:dyDescent="0.25">
      <c r="A20" s="42" t="s">
        <v>84</v>
      </c>
      <c r="G20" s="37"/>
      <c r="H20" s="37"/>
      <c r="I20" s="37"/>
      <c r="J20" s="37"/>
      <c r="K20" s="37"/>
      <c r="L20" s="37"/>
      <c r="N20" s="36" t="s">
        <v>85</v>
      </c>
      <c r="O20" s="36"/>
      <c r="P20" s="36">
        <v>2025</v>
      </c>
      <c r="R20" s="36"/>
    </row>
    <row r="21" spans="1:18" x14ac:dyDescent="0.25">
      <c r="A21" s="42" t="s">
        <v>86</v>
      </c>
      <c r="G21" s="42"/>
      <c r="N21" s="36" t="s">
        <v>87</v>
      </c>
      <c r="O21" s="36"/>
      <c r="P21" s="36">
        <v>2026</v>
      </c>
      <c r="R21" s="36"/>
    </row>
    <row r="22" spans="1:18" x14ac:dyDescent="0.25">
      <c r="A22" s="42" t="s">
        <v>88</v>
      </c>
      <c r="G22" s="43"/>
      <c r="K22" s="43"/>
      <c r="N22" s="36" t="s">
        <v>89</v>
      </c>
      <c r="O22" s="36"/>
      <c r="P22" s="36">
        <v>2027</v>
      </c>
      <c r="R22" s="36"/>
    </row>
    <row r="23" spans="1:18" x14ac:dyDescent="0.25">
      <c r="A23" s="42" t="s">
        <v>90</v>
      </c>
      <c r="G23" s="43" t="s">
        <v>91</v>
      </c>
      <c r="N23" s="36" t="s">
        <v>92</v>
      </c>
      <c r="O23" s="36"/>
      <c r="P23" s="36">
        <v>2028</v>
      </c>
      <c r="R23" s="36"/>
    </row>
    <row r="24" spans="1:18" x14ac:dyDescent="0.25">
      <c r="G24" s="44" t="s">
        <v>93</v>
      </c>
      <c r="H24" s="37"/>
      <c r="I24" s="37"/>
      <c r="J24" s="37"/>
      <c r="K24" s="37"/>
      <c r="L24" s="37"/>
      <c r="P24" s="36">
        <v>2029</v>
      </c>
      <c r="R24" s="36"/>
    </row>
    <row r="25" spans="1:18" x14ac:dyDescent="0.25">
      <c r="G25" s="44" t="s">
        <v>94</v>
      </c>
      <c r="H25" s="39"/>
      <c r="I25" s="39"/>
      <c r="J25" s="39"/>
      <c r="K25" s="39"/>
      <c r="L25" s="39"/>
      <c r="P25" s="36">
        <v>2030</v>
      </c>
      <c r="R25" s="36"/>
    </row>
    <row r="26" spans="1:18" x14ac:dyDescent="0.25">
      <c r="A26" s="42" t="s">
        <v>95</v>
      </c>
      <c r="G26" s="44" t="s">
        <v>96</v>
      </c>
      <c r="H26" s="37"/>
      <c r="I26" s="37"/>
      <c r="J26" s="37"/>
      <c r="K26" s="37"/>
      <c r="L26" s="37"/>
      <c r="P26" s="36">
        <v>2031</v>
      </c>
    </row>
    <row r="27" spans="1:18" x14ac:dyDescent="0.25">
      <c r="A27" s="42" t="s">
        <v>97</v>
      </c>
      <c r="G27" s="44" t="s">
        <v>98</v>
      </c>
      <c r="H27" s="39"/>
      <c r="I27" s="39"/>
      <c r="J27" s="39"/>
      <c r="K27" s="39"/>
      <c r="L27" s="39"/>
      <c r="P27" s="36">
        <v>2032</v>
      </c>
    </row>
    <row r="28" spans="1:18" x14ac:dyDescent="0.25">
      <c r="G28" s="44" t="s">
        <v>99</v>
      </c>
      <c r="H28" s="37"/>
      <c r="I28" s="37"/>
      <c r="J28" s="37"/>
      <c r="K28" s="37"/>
      <c r="L28" s="37"/>
    </row>
    <row r="29" spans="1:18" x14ac:dyDescent="0.25">
      <c r="G29" s="44" t="s">
        <v>100</v>
      </c>
      <c r="H29" s="39"/>
      <c r="I29" s="39"/>
      <c r="J29" s="39"/>
      <c r="K29" s="39"/>
      <c r="L29" s="39"/>
    </row>
    <row r="30" spans="1:18" x14ac:dyDescent="0.25">
      <c r="G30" s="37"/>
      <c r="H30" s="37"/>
      <c r="I30" s="37"/>
      <c r="J30" s="37"/>
      <c r="K30" s="37"/>
      <c r="L30" s="37"/>
    </row>
    <row r="31" spans="1:18" x14ac:dyDescent="0.25">
      <c r="A31" s="45" t="s">
        <v>101</v>
      </c>
      <c r="G31" s="39"/>
      <c r="H31" s="39"/>
      <c r="I31" s="39"/>
      <c r="J31" s="39"/>
      <c r="K31" s="39"/>
      <c r="L31" s="39"/>
    </row>
    <row r="32" spans="1:18" x14ac:dyDescent="0.25">
      <c r="G32" s="37"/>
      <c r="H32" s="37"/>
      <c r="I32" s="37"/>
      <c r="J32" s="37"/>
      <c r="K32" s="37"/>
      <c r="L32" s="37"/>
    </row>
    <row r="33" spans="7:12" x14ac:dyDescent="0.25">
      <c r="G33" s="39"/>
      <c r="H33" s="39"/>
      <c r="I33" s="39"/>
      <c r="J33" s="39"/>
      <c r="K33" s="39"/>
      <c r="L33" s="39"/>
    </row>
    <row r="34" spans="7:12" x14ac:dyDescent="0.25">
      <c r="G34" s="37"/>
      <c r="H34" s="37"/>
      <c r="I34" s="37"/>
      <c r="J34" s="37"/>
      <c r="K34" s="37"/>
      <c r="L34" s="37"/>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107"/>
  <sheetViews>
    <sheetView topLeftCell="A49" workbookViewId="0">
      <selection activeCell="L59" sqref="L59:M59"/>
    </sheetView>
  </sheetViews>
  <sheetFormatPr defaultRowHeight="15" x14ac:dyDescent="0.25"/>
  <cols>
    <col min="1" max="38" width="4.7109375" customWidth="1"/>
  </cols>
  <sheetData>
    <row r="1" spans="1:38" ht="15.75" x14ac:dyDescent="0.25">
      <c r="A1" s="890" t="str">
        <f>'CLIENT ENROLLMENT DISCHARGE '!A2</f>
        <v>WV Bureau for Behavioral Health and Health Facilities  - Customized Employment v20230622</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c r="AG1" s="891"/>
      <c r="AH1" s="891"/>
      <c r="AI1" s="891"/>
      <c r="AJ1" s="891"/>
      <c r="AK1" s="891"/>
      <c r="AL1" s="892"/>
    </row>
    <row r="2" spans="1:38" x14ac:dyDescent="0.25">
      <c r="A2" s="893" t="str">
        <f>'CLIENT ENROLLMENT DISCHARGE '!A3</f>
        <v>State Fiscal Year  2024  (July 1, 2023 - June 30, 2024)</v>
      </c>
      <c r="B2" s="894"/>
      <c r="C2" s="894"/>
      <c r="D2" s="894"/>
      <c r="E2" s="894"/>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894"/>
      <c r="AK2" s="894"/>
      <c r="AL2" s="895"/>
    </row>
    <row r="3" spans="1:38" x14ac:dyDescent="0.25">
      <c r="A3" s="896" t="str">
        <f>'CLIENT ENROLLMENT DISCHARGE '!A4</f>
        <v xml:space="preserve">Program reports need to be submitted electronically, via e-mail to DHHRBBHReporting@wv.gov  within 25 calendar days of the end of each month </v>
      </c>
      <c r="B3" s="897"/>
      <c r="C3" s="897"/>
      <c r="D3" s="897"/>
      <c r="E3" s="897"/>
      <c r="F3" s="897"/>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c r="AI3" s="897"/>
      <c r="AJ3" s="897"/>
      <c r="AK3" s="897"/>
      <c r="AL3" s="898"/>
    </row>
    <row r="4" spans="1:38" ht="15.75" x14ac:dyDescent="0.25">
      <c r="A4" s="860" t="s">
        <v>33</v>
      </c>
      <c r="B4" s="860"/>
      <c r="C4" s="860"/>
      <c r="D4" s="860"/>
      <c r="E4" s="860"/>
      <c r="F4" s="860"/>
      <c r="G4" s="860"/>
      <c r="H4" s="860"/>
      <c r="I4" s="860"/>
      <c r="J4" s="861" t="str">
        <f>'CLIENT ENROLLMENT DISCHARGE '!E5</f>
        <v>Customized Employment</v>
      </c>
      <c r="K4" s="861"/>
      <c r="L4" s="861"/>
      <c r="M4" s="861"/>
      <c r="N4" s="861"/>
      <c r="O4" s="861"/>
      <c r="P4" s="861"/>
      <c r="Q4" s="861"/>
      <c r="R4" s="861"/>
      <c r="S4" s="861"/>
      <c r="T4" s="862"/>
      <c r="U4" s="860" t="s">
        <v>32</v>
      </c>
      <c r="V4" s="860"/>
      <c r="W4" s="860"/>
      <c r="X4" s="860"/>
      <c r="Y4" s="860"/>
      <c r="Z4" s="860"/>
      <c r="AA4" s="860"/>
      <c r="AB4" s="860"/>
      <c r="AC4" s="860"/>
      <c r="AD4" s="860"/>
      <c r="AE4" s="860"/>
      <c r="AF4" s="899">
        <f>'CLIENT ENROLLMENT DISCHARGE '!M5</f>
        <v>0</v>
      </c>
      <c r="AG4" s="899"/>
      <c r="AH4" s="899"/>
      <c r="AI4" s="899"/>
      <c r="AJ4" s="899"/>
      <c r="AK4" s="899"/>
      <c r="AL4" s="899"/>
    </row>
    <row r="5" spans="1:38" ht="15.75" x14ac:dyDescent="0.25">
      <c r="A5" s="860" t="s">
        <v>31</v>
      </c>
      <c r="B5" s="860"/>
      <c r="C5" s="860"/>
      <c r="D5" s="860"/>
      <c r="E5" s="860"/>
      <c r="F5" s="860"/>
      <c r="G5" s="860"/>
      <c r="H5" s="860"/>
      <c r="I5" s="860"/>
      <c r="J5" s="861">
        <f>'CLIENT ENROLLMENT DISCHARGE '!E6</f>
        <v>0</v>
      </c>
      <c r="K5" s="861"/>
      <c r="L5" s="861"/>
      <c r="M5" s="861"/>
      <c r="N5" s="861"/>
      <c r="O5" s="861"/>
      <c r="P5" s="861"/>
      <c r="Q5" s="861"/>
      <c r="R5" s="861"/>
      <c r="S5" s="861"/>
      <c r="T5" s="862"/>
      <c r="U5" s="860" t="s">
        <v>30</v>
      </c>
      <c r="V5" s="860"/>
      <c r="W5" s="860"/>
      <c r="X5" s="860"/>
      <c r="Y5" s="860"/>
      <c r="Z5" s="860"/>
      <c r="AA5" s="860"/>
      <c r="AB5" s="860"/>
      <c r="AC5" s="860"/>
      <c r="AD5" s="860"/>
      <c r="AE5" s="860"/>
      <c r="AF5" s="725">
        <f>'CLIENT ENROLLMENT DISCHARGE '!M6</f>
        <v>0</v>
      </c>
      <c r="AG5" s="725"/>
      <c r="AH5" s="725"/>
      <c r="AI5" s="725"/>
      <c r="AJ5" s="725"/>
      <c r="AK5" s="725"/>
      <c r="AL5" s="725"/>
    </row>
    <row r="6" spans="1:38" ht="15.75" x14ac:dyDescent="0.25">
      <c r="A6" s="863" t="s">
        <v>29</v>
      </c>
      <c r="B6" s="863"/>
      <c r="C6" s="863"/>
      <c r="D6" s="863"/>
      <c r="E6" s="863"/>
      <c r="F6" s="863"/>
      <c r="G6" s="863"/>
      <c r="H6" s="863"/>
      <c r="I6" s="863"/>
      <c r="J6" s="864">
        <f>'CLIENT ENROLLMENT DISCHARGE '!E7</f>
        <v>0</v>
      </c>
      <c r="K6" s="864"/>
      <c r="L6" s="864"/>
      <c r="M6" s="864"/>
      <c r="N6" s="864"/>
      <c r="O6" s="864"/>
      <c r="P6" s="864"/>
      <c r="Q6" s="864"/>
      <c r="R6" s="864"/>
      <c r="S6" s="864"/>
      <c r="T6" s="865"/>
      <c r="U6" s="860" t="s">
        <v>148</v>
      </c>
      <c r="V6" s="860"/>
      <c r="W6" s="860"/>
      <c r="X6" s="860"/>
      <c r="Y6" s="860"/>
      <c r="Z6" s="860"/>
      <c r="AA6" s="860"/>
      <c r="AB6" s="860"/>
      <c r="AC6" s="860"/>
      <c r="AD6" s="860"/>
      <c r="AE6" s="860"/>
      <c r="AF6" s="725">
        <f>'CLIENT ENROLLMENT DISCHARGE '!M7</f>
        <v>0</v>
      </c>
      <c r="AG6" s="725"/>
      <c r="AH6" s="725"/>
      <c r="AI6" s="725"/>
      <c r="AJ6" s="725"/>
      <c r="AK6" s="725"/>
      <c r="AL6" s="725"/>
    </row>
    <row r="7" spans="1:38" ht="15.75" x14ac:dyDescent="0.25">
      <c r="A7" s="863"/>
      <c r="B7" s="863"/>
      <c r="C7" s="863"/>
      <c r="D7" s="863"/>
      <c r="E7" s="863"/>
      <c r="F7" s="863"/>
      <c r="G7" s="863"/>
      <c r="H7" s="863"/>
      <c r="I7" s="863"/>
      <c r="J7" s="864"/>
      <c r="K7" s="864"/>
      <c r="L7" s="864"/>
      <c r="M7" s="864"/>
      <c r="N7" s="864"/>
      <c r="O7" s="864"/>
      <c r="P7" s="864"/>
      <c r="Q7" s="864"/>
      <c r="R7" s="864"/>
      <c r="S7" s="864"/>
      <c r="T7" s="865"/>
      <c r="U7" s="866" t="s">
        <v>28</v>
      </c>
      <c r="V7" s="866"/>
      <c r="W7" s="866"/>
      <c r="X7" s="866"/>
      <c r="Y7" s="866"/>
      <c r="Z7" s="866"/>
      <c r="AA7" s="866"/>
      <c r="AB7" s="866"/>
      <c r="AC7" s="866"/>
      <c r="AD7" s="866"/>
      <c r="AE7" s="866"/>
      <c r="AF7" s="725">
        <f>'CLIENT ENROLLMENT DISCHARGE '!M8</f>
        <v>0</v>
      </c>
      <c r="AG7" s="725"/>
      <c r="AH7" s="725"/>
      <c r="AI7" s="725"/>
      <c r="AJ7" s="725"/>
      <c r="AK7" s="725"/>
      <c r="AL7" s="725"/>
    </row>
    <row r="8" spans="1:38" ht="15.75" customHeight="1" x14ac:dyDescent="0.25">
      <c r="A8" s="141" t="s">
        <v>210</v>
      </c>
      <c r="B8" s="142"/>
      <c r="C8" s="142"/>
      <c r="D8" s="142"/>
      <c r="E8" s="142"/>
      <c r="F8" s="142"/>
      <c r="G8" s="142"/>
      <c r="H8" s="142"/>
      <c r="I8" s="142"/>
      <c r="J8" s="723" t="str">
        <f>'CLIENT ENROLLMENT DISCHARGE '!E9</f>
        <v>May 1 - 31</v>
      </c>
      <c r="K8" s="724"/>
      <c r="L8" s="724"/>
      <c r="M8" s="724"/>
      <c r="N8" s="724"/>
      <c r="O8" s="724"/>
      <c r="P8" s="723">
        <f>'CLIENT ENROLLMENT DISCHARGE '!G9</f>
        <v>2023</v>
      </c>
      <c r="Q8" s="724"/>
      <c r="R8" s="724"/>
      <c r="S8" s="724"/>
      <c r="T8" s="724"/>
      <c r="U8" s="692" t="s">
        <v>211</v>
      </c>
      <c r="V8" s="693"/>
      <c r="W8" s="693"/>
      <c r="X8" s="693"/>
      <c r="Y8" s="693"/>
      <c r="Z8" s="693"/>
      <c r="AA8" s="693"/>
      <c r="AB8" s="693"/>
      <c r="AC8" s="693"/>
      <c r="AD8" s="693"/>
      <c r="AE8" s="694"/>
      <c r="AF8" s="725">
        <f>'CLIENT ENROLLMENT DISCHARGE '!M9</f>
        <v>0</v>
      </c>
      <c r="AG8" s="725"/>
      <c r="AH8" s="725"/>
      <c r="AI8" s="725"/>
      <c r="AJ8" s="725"/>
      <c r="AK8" s="725"/>
      <c r="AL8" s="725"/>
    </row>
    <row r="9" spans="1:38" x14ac:dyDescent="0.25">
      <c r="A9" s="879"/>
      <c r="B9" s="880"/>
      <c r="C9" s="880"/>
      <c r="D9" s="880"/>
      <c r="E9" s="880"/>
      <c r="F9" s="880"/>
      <c r="G9" s="880"/>
      <c r="H9" s="880"/>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c r="AK9" s="880"/>
      <c r="AL9" s="880"/>
    </row>
    <row r="10" spans="1:38" ht="24.95" customHeight="1" x14ac:dyDescent="0.25">
      <c r="A10" s="881" t="s">
        <v>149</v>
      </c>
      <c r="B10" s="881"/>
      <c r="C10" s="881"/>
      <c r="D10" s="881"/>
      <c r="E10" s="881"/>
      <c r="F10" s="881"/>
      <c r="G10" s="881"/>
      <c r="H10" s="881"/>
      <c r="I10" s="881"/>
      <c r="J10" s="881"/>
      <c r="K10" s="881"/>
      <c r="L10" s="881"/>
      <c r="M10" s="881"/>
      <c r="N10" s="881"/>
      <c r="O10" s="881"/>
      <c r="P10" s="881"/>
      <c r="Q10" s="881"/>
      <c r="R10" s="881"/>
      <c r="S10" s="881"/>
      <c r="T10" s="881"/>
      <c r="U10" s="881"/>
      <c r="V10" s="881"/>
      <c r="W10" s="881"/>
      <c r="X10" s="881"/>
      <c r="Y10" s="881"/>
      <c r="Z10" s="881"/>
      <c r="AA10" s="881"/>
      <c r="AB10" s="881"/>
      <c r="AC10" s="881"/>
      <c r="AD10" s="881"/>
      <c r="AE10" s="881"/>
      <c r="AF10" s="881"/>
      <c r="AG10" s="881"/>
      <c r="AH10" s="881"/>
      <c r="AI10" s="881"/>
      <c r="AJ10" s="881"/>
      <c r="AK10" s="881"/>
      <c r="AL10" s="881"/>
    </row>
    <row r="11" spans="1:38" x14ac:dyDescent="0.25">
      <c r="A11" s="653"/>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c r="AG11" s="653"/>
      <c r="AH11" s="653"/>
      <c r="AI11" s="653"/>
      <c r="AJ11" s="653"/>
      <c r="AK11" s="653"/>
      <c r="AL11" s="653"/>
    </row>
    <row r="12" spans="1:38" x14ac:dyDescent="0.25">
      <c r="A12" s="518" t="s">
        <v>150</v>
      </c>
      <c r="B12" s="518"/>
      <c r="C12" s="518"/>
      <c r="D12" s="518"/>
      <c r="E12" s="518"/>
      <c r="F12" s="518"/>
      <c r="G12" s="518"/>
      <c r="H12" s="518"/>
      <c r="I12" s="518"/>
      <c r="J12" s="518"/>
      <c r="K12" s="518"/>
      <c r="L12" s="518"/>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row>
    <row r="13" spans="1:38" ht="30" customHeight="1" x14ac:dyDescent="0.25">
      <c r="A13" s="551" t="s">
        <v>151</v>
      </c>
      <c r="B13" s="552"/>
      <c r="C13" s="552"/>
      <c r="D13" s="552"/>
      <c r="E13" s="552"/>
      <c r="F13" s="552"/>
      <c r="G13" s="552"/>
      <c r="H13" s="552"/>
      <c r="I13" s="654"/>
      <c r="J13" s="882" t="s">
        <v>152</v>
      </c>
      <c r="K13" s="883"/>
      <c r="L13" s="884" t="s">
        <v>153</v>
      </c>
      <c r="M13" s="885"/>
      <c r="N13" s="871" t="s">
        <v>154</v>
      </c>
      <c r="O13" s="871"/>
      <c r="P13" s="871" t="s">
        <v>155</v>
      </c>
      <c r="Q13" s="871"/>
      <c r="R13" s="871" t="s">
        <v>156</v>
      </c>
      <c r="S13" s="871"/>
      <c r="T13" s="871" t="s">
        <v>157</v>
      </c>
      <c r="U13" s="871"/>
      <c r="V13" s="871" t="s">
        <v>158</v>
      </c>
      <c r="W13" s="871"/>
      <c r="X13" s="871" t="s">
        <v>159</v>
      </c>
      <c r="Y13" s="871"/>
      <c r="Z13" s="871" t="s">
        <v>160</v>
      </c>
      <c r="AA13" s="871"/>
      <c r="AB13" s="871" t="s">
        <v>161</v>
      </c>
      <c r="AC13" s="871"/>
      <c r="AD13" s="871" t="s">
        <v>162</v>
      </c>
      <c r="AE13" s="871"/>
      <c r="AF13" s="871" t="s">
        <v>163</v>
      </c>
      <c r="AG13" s="871"/>
      <c r="AH13" s="871" t="s">
        <v>164</v>
      </c>
      <c r="AI13" s="871"/>
      <c r="AJ13" s="650" t="s">
        <v>165</v>
      </c>
      <c r="AK13" s="651"/>
      <c r="AL13" s="652"/>
    </row>
    <row r="14" spans="1:38" ht="20.100000000000001" customHeight="1" x14ac:dyDescent="0.25">
      <c r="A14" s="872" t="s">
        <v>166</v>
      </c>
      <c r="B14" s="873"/>
      <c r="C14" s="873"/>
      <c r="D14" s="873"/>
      <c r="E14" s="873"/>
      <c r="F14" s="873"/>
      <c r="G14" s="873"/>
      <c r="H14" s="873"/>
      <c r="I14" s="874"/>
      <c r="J14" s="875">
        <f>COUNTIFS('CLIENT ENROLLMENT DISCHARGE '!D15:D1001,"&gt;=07/01/2000",'CLIENT ENROLLMENT DISCHARGE '!D15:D1001,"&lt;=06/30/2020")</f>
        <v>0</v>
      </c>
      <c r="K14" s="876"/>
      <c r="L14" s="867">
        <f>J17</f>
        <v>0</v>
      </c>
      <c r="M14" s="868"/>
      <c r="N14" s="867">
        <f>L17</f>
        <v>0</v>
      </c>
      <c r="O14" s="868"/>
      <c r="P14" s="867">
        <f>N17</f>
        <v>0</v>
      </c>
      <c r="Q14" s="868"/>
      <c r="R14" s="867">
        <f>P17</f>
        <v>0</v>
      </c>
      <c r="S14" s="868"/>
      <c r="T14" s="867">
        <f>R17</f>
        <v>0</v>
      </c>
      <c r="U14" s="868"/>
      <c r="V14" s="867">
        <f>T17</f>
        <v>0</v>
      </c>
      <c r="W14" s="868"/>
      <c r="X14" s="867">
        <f>V17</f>
        <v>0</v>
      </c>
      <c r="Y14" s="868"/>
      <c r="Z14" s="867">
        <f>X17</f>
        <v>0</v>
      </c>
      <c r="AA14" s="868"/>
      <c r="AB14" s="867">
        <f>Z17</f>
        <v>0</v>
      </c>
      <c r="AC14" s="868"/>
      <c r="AD14" s="867">
        <f>AB17</f>
        <v>0</v>
      </c>
      <c r="AE14" s="868"/>
      <c r="AF14" s="867">
        <f>AD17</f>
        <v>0</v>
      </c>
      <c r="AG14" s="868"/>
      <c r="AH14" s="867">
        <f>AF17</f>
        <v>0</v>
      </c>
      <c r="AI14" s="868"/>
      <c r="AJ14" s="641">
        <f>SUM(J14:AH14)</f>
        <v>0</v>
      </c>
      <c r="AK14" s="642"/>
      <c r="AL14" s="643"/>
    </row>
    <row r="15" spans="1:38" ht="20.100000000000001" customHeight="1" x14ac:dyDescent="0.25">
      <c r="A15" s="647" t="s">
        <v>167</v>
      </c>
      <c r="B15" s="648"/>
      <c r="C15" s="648"/>
      <c r="D15" s="648"/>
      <c r="E15" s="648"/>
      <c r="F15" s="648"/>
      <c r="G15" s="648"/>
      <c r="H15" s="648"/>
      <c r="I15" s="649"/>
      <c r="J15" s="869">
        <f>COUNTIFS('CLIENT ENROLLMENT DISCHARGE '!D15:D1001,"&gt;=07/01/2000",'CLIENT ENROLLMENT DISCHARGE '!D15:D1001,"&lt;=06/30/2020")</f>
        <v>0</v>
      </c>
      <c r="K15" s="870"/>
      <c r="L15" s="857">
        <f>COUNTIFS('CLIENT ENROLLMENT DISCHARGE '!D15:D1001,"&gt;=07/01/2020",'CLIENT ENROLLMENT DISCHARGE '!D15:D1001,"&lt;=07/31/2020")</f>
        <v>0</v>
      </c>
      <c r="M15" s="858"/>
      <c r="N15" s="859">
        <f>COUNTIFS('CLIENT ENROLLMENT DISCHARGE '!D15:D1001,"&gt;=08/01/2020",'CLIENT ENROLLMENT DISCHARGE '!D15:D1001,"&lt;=08/31/2020")</f>
        <v>0</v>
      </c>
      <c r="O15" s="859"/>
      <c r="P15" s="859">
        <f>COUNTIFS('CLIENT ENROLLMENT DISCHARGE '!D15:D1001,"&gt;=09/01/2020",'CLIENT ENROLLMENT DISCHARGE '!D15:D1001,"&lt;=09/30/2020")</f>
        <v>0</v>
      </c>
      <c r="Q15" s="859"/>
      <c r="R15" s="859">
        <f>COUNTIFS('CLIENT ENROLLMENT DISCHARGE '!D15:D1001,"&gt;=10/01/2020",'CLIENT ENROLLMENT DISCHARGE '!D15:D1001,"&lt;=10/31/2020")</f>
        <v>0</v>
      </c>
      <c r="S15" s="859"/>
      <c r="T15" s="859">
        <f>COUNTIFS('CLIENT ENROLLMENT DISCHARGE '!D15:D1001,"&gt;=11/01/2020",'CLIENT ENROLLMENT DISCHARGE '!D15:D1001,"&lt;=11/30/2020")</f>
        <v>0</v>
      </c>
      <c r="U15" s="859"/>
      <c r="V15" s="859">
        <f>COUNTIFS('CLIENT ENROLLMENT DISCHARGE '!D15:D1001,"&gt;=12/01/2020",'CLIENT ENROLLMENT DISCHARGE '!D15:D1001,"&lt;=12/31/2020")</f>
        <v>0</v>
      </c>
      <c r="W15" s="859"/>
      <c r="X15" s="859">
        <f>COUNTIFS('CLIENT ENROLLMENT DISCHARGE '!D15:D1001,"&gt;=01/01/2021",'CLIENT ENROLLMENT DISCHARGE '!D15:D1001,"&lt;=01/31/2021")</f>
        <v>0</v>
      </c>
      <c r="Y15" s="859"/>
      <c r="Z15" s="859">
        <f>COUNTIFS('CLIENT ENROLLMENT DISCHARGE '!D15:D1001,"&gt;=02/01/2021",'CLIENT ENROLLMENT DISCHARGE '!D15:D1001,"&lt;=02/28/2021")</f>
        <v>0</v>
      </c>
      <c r="AA15" s="859"/>
      <c r="AB15" s="859">
        <f>COUNTIFS('CLIENT ENROLLMENT DISCHARGE '!D15:D1001,"&gt;=03/01/2021",'CLIENT ENROLLMENT DISCHARGE '!D15:D1001,"&lt;=03/31/2021")</f>
        <v>0</v>
      </c>
      <c r="AC15" s="859"/>
      <c r="AD15" s="859">
        <f>COUNTIFS('CLIENT ENROLLMENT DISCHARGE '!D15:D1001,"&gt;=04/01/2021",'CLIENT ENROLLMENT DISCHARGE '!D15:D1001,"&lt;=04/30/2021")</f>
        <v>0</v>
      </c>
      <c r="AE15" s="859"/>
      <c r="AF15" s="859">
        <f>COUNTIFS('CLIENT ENROLLMENT DISCHARGE '!D15:D1001,"&gt;=05/01/2021",'CLIENT ENROLLMENT DISCHARGE '!D15:D1001,"&lt;=05/31/2021")</f>
        <v>0</v>
      </c>
      <c r="AG15" s="859"/>
      <c r="AH15" s="859">
        <f>COUNTIFS('CLIENT ENROLLMENT DISCHARGE '!D15:D1001,"&gt;=06/01/2021",'CLIENT ENROLLMENT DISCHARGE '!D15:D1001,"&lt;=06/30/2021")</f>
        <v>0</v>
      </c>
      <c r="AI15" s="859"/>
      <c r="AJ15" s="641">
        <f>SUM(J15:AH15)</f>
        <v>0</v>
      </c>
      <c r="AK15" s="642"/>
      <c r="AL15" s="643"/>
    </row>
    <row r="16" spans="1:38" ht="20.100000000000001" customHeight="1" x14ac:dyDescent="0.25">
      <c r="A16" s="647" t="s">
        <v>168</v>
      </c>
      <c r="B16" s="648"/>
      <c r="C16" s="648"/>
      <c r="D16" s="648"/>
      <c r="E16" s="648"/>
      <c r="F16" s="648"/>
      <c r="G16" s="648"/>
      <c r="H16" s="648"/>
      <c r="I16" s="649"/>
      <c r="J16" s="855">
        <f>COUNTIFS('CLIENT ENROLLMENT DISCHARGE '!M15:M1001,"&gt;=07/01/2000",'CLIENT ENROLLMENT DISCHARGE '!M15:M1001,"&lt;=06/30/2020")</f>
        <v>0</v>
      </c>
      <c r="K16" s="856"/>
      <c r="L16" s="857">
        <f>COUNTIFS('CLIENT ENROLLMENT DISCHARGE '!M15:M1001,"&gt;=07/01/2020",'CLIENT ENROLLMENT DISCHARGE '!M15:M1001,"&lt;=07/31/2020")</f>
        <v>0</v>
      </c>
      <c r="M16" s="858"/>
      <c r="N16" s="859">
        <f>COUNTIFS('CLIENT ENROLLMENT DISCHARGE '!M15:M1001,"&gt;=08/01/2020",'CLIENT ENROLLMENT DISCHARGE '!M15:M1001,"&lt;=08/31/2020")</f>
        <v>0</v>
      </c>
      <c r="O16" s="859"/>
      <c r="P16" s="859">
        <f>COUNTIFS('CLIENT ENROLLMENT DISCHARGE '!M15:M1001,"&gt;=09/01/2020",'CLIENT ENROLLMENT DISCHARGE '!M15:M1001,"&lt;=09/30/2020")</f>
        <v>0</v>
      </c>
      <c r="Q16" s="859"/>
      <c r="R16" s="859">
        <f>COUNTIFS('CLIENT ENROLLMENT DISCHARGE '!M15:M1001,"&gt;=10/01/2020",'CLIENT ENROLLMENT DISCHARGE '!M15:M1001,"&lt;=10/31/2020")</f>
        <v>0</v>
      </c>
      <c r="S16" s="859"/>
      <c r="T16" s="859">
        <f>COUNTIFS('CLIENT ENROLLMENT DISCHARGE '!M15:M1001,"&gt;=11/01/2020",'CLIENT ENROLLMENT DISCHARGE '!M15:M1001,"&lt;=11/30/2020")</f>
        <v>0</v>
      </c>
      <c r="U16" s="859"/>
      <c r="V16" s="859">
        <f>COUNTIFS('CLIENT ENROLLMENT DISCHARGE '!M15:M1001,"&gt;=12/01/2020",'CLIENT ENROLLMENT DISCHARGE '!M15:M1001,"&lt;=12/31/2020")</f>
        <v>0</v>
      </c>
      <c r="W16" s="859"/>
      <c r="X16" s="859">
        <f>COUNTIFS('CLIENT ENROLLMENT DISCHARGE '!M15:M1001,"&gt;=01/01/2021",'CLIENT ENROLLMENT DISCHARGE '!M15:M1001,"&lt;=01/31/2021")</f>
        <v>0</v>
      </c>
      <c r="Y16" s="859"/>
      <c r="Z16" s="859">
        <f>COUNTIFS('CLIENT ENROLLMENT DISCHARGE '!M15:M1001,"&gt;=02/01/2021",'CLIENT ENROLLMENT DISCHARGE '!M15:M1001,"&lt;=02/28/2021")</f>
        <v>0</v>
      </c>
      <c r="AA16" s="859"/>
      <c r="AB16" s="859">
        <f>COUNTIFS('CLIENT ENROLLMENT DISCHARGE '!M15:M1001,"&gt;=03/01/2021",'CLIENT ENROLLMENT DISCHARGE '!M15:M1001,"&lt;=03/31/2021")</f>
        <v>0</v>
      </c>
      <c r="AC16" s="859"/>
      <c r="AD16" s="859">
        <f>COUNTIFS('CLIENT ENROLLMENT DISCHARGE '!M15:M1001,"&gt;=04/01/2021",'CLIENT ENROLLMENT DISCHARGE '!M15:M1001,"&lt;=04/30/2021")</f>
        <v>0</v>
      </c>
      <c r="AE16" s="859"/>
      <c r="AF16" s="859">
        <f>COUNTIFS('CLIENT ENROLLMENT DISCHARGE '!M15:M1001,"&gt;=05/01/2021",'CLIENT ENROLLMENT DISCHARGE '!M15:M1001,"&lt;=05/31/2021")</f>
        <v>0</v>
      </c>
      <c r="AG16" s="859"/>
      <c r="AH16" s="859">
        <f>COUNTIFS('CLIENT ENROLLMENT DISCHARGE '!M15:M1001,"&gt;=06/01/2021",'CLIENT ENROLLMENT DISCHARGE '!M15:M1001,"&lt;=06/30/2021")</f>
        <v>0</v>
      </c>
      <c r="AI16" s="859"/>
      <c r="AJ16" s="641">
        <f>SUM(J16:AH16)</f>
        <v>0</v>
      </c>
      <c r="AK16" s="642"/>
      <c r="AL16" s="643"/>
    </row>
    <row r="17" spans="1:38" ht="30" customHeight="1" x14ac:dyDescent="0.25">
      <c r="A17" s="644" t="s">
        <v>169</v>
      </c>
      <c r="B17" s="645"/>
      <c r="C17" s="645"/>
      <c r="D17" s="645"/>
      <c r="E17" s="645"/>
      <c r="F17" s="645"/>
      <c r="G17" s="645"/>
      <c r="H17" s="645"/>
      <c r="I17" s="646"/>
      <c r="J17" s="853">
        <f>J15-J16</f>
        <v>0</v>
      </c>
      <c r="K17" s="854"/>
      <c r="L17" s="849">
        <f>L14+L15-L16</f>
        <v>0</v>
      </c>
      <c r="M17" s="850"/>
      <c r="N17" s="849">
        <f>N14+N15-N16</f>
        <v>0</v>
      </c>
      <c r="O17" s="850"/>
      <c r="P17" s="849">
        <f>P14+P15-P16</f>
        <v>0</v>
      </c>
      <c r="Q17" s="850"/>
      <c r="R17" s="849">
        <f>R14+R15-R16</f>
        <v>0</v>
      </c>
      <c r="S17" s="850"/>
      <c r="T17" s="849">
        <f>T14+T15-T16</f>
        <v>0</v>
      </c>
      <c r="U17" s="850"/>
      <c r="V17" s="849">
        <f>V14+V15-V16</f>
        <v>0</v>
      </c>
      <c r="W17" s="850"/>
      <c r="X17" s="849">
        <f>X14+X15-X16</f>
        <v>0</v>
      </c>
      <c r="Y17" s="850"/>
      <c r="Z17" s="849">
        <f>Z14+Z15-Z16</f>
        <v>0</v>
      </c>
      <c r="AA17" s="850"/>
      <c r="AB17" s="849">
        <f>AB14+AB15-AB16</f>
        <v>0</v>
      </c>
      <c r="AC17" s="850"/>
      <c r="AD17" s="849">
        <f>AD14+AD15-AD16</f>
        <v>0</v>
      </c>
      <c r="AE17" s="850"/>
      <c r="AF17" s="849">
        <f>AF14+AF15-AF16</f>
        <v>0</v>
      </c>
      <c r="AG17" s="850"/>
      <c r="AH17" s="849">
        <f>AH14+AH15-AH16</f>
        <v>0</v>
      </c>
      <c r="AI17" s="850"/>
      <c r="AJ17" s="636">
        <f>AJ15-AJ16</f>
        <v>0</v>
      </c>
      <c r="AK17" s="637"/>
      <c r="AL17" s="638"/>
    </row>
    <row r="18" spans="1:38" x14ac:dyDescent="0.25">
      <c r="A18" s="518" t="s">
        <v>170</v>
      </c>
      <c r="B18" s="518"/>
      <c r="C18" s="518"/>
      <c r="D18" s="518"/>
      <c r="E18" s="518"/>
      <c r="F18" s="518"/>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c r="AE18" s="518"/>
      <c r="AF18" s="518"/>
      <c r="AG18" s="518"/>
      <c r="AH18" s="518"/>
      <c r="AI18" s="518"/>
      <c r="AJ18" s="518"/>
      <c r="AK18" s="518"/>
      <c r="AL18" s="518"/>
    </row>
    <row r="19" spans="1:38" ht="30" customHeight="1" x14ac:dyDescent="0.25">
      <c r="A19" s="639" t="s">
        <v>171</v>
      </c>
      <c r="B19" s="640"/>
      <c r="C19" s="640"/>
      <c r="D19" s="640"/>
      <c r="E19" s="640"/>
      <c r="F19" s="640"/>
      <c r="G19" s="640"/>
      <c r="H19" s="640"/>
      <c r="I19" s="640"/>
      <c r="J19" s="851" t="s">
        <v>152</v>
      </c>
      <c r="K19" s="852"/>
      <c r="L19" s="848" t="s">
        <v>153</v>
      </c>
      <c r="M19" s="848"/>
      <c r="N19" s="848" t="s">
        <v>154</v>
      </c>
      <c r="O19" s="848"/>
      <c r="P19" s="848" t="s">
        <v>155</v>
      </c>
      <c r="Q19" s="848"/>
      <c r="R19" s="848" t="s">
        <v>156</v>
      </c>
      <c r="S19" s="848"/>
      <c r="T19" s="848" t="s">
        <v>157</v>
      </c>
      <c r="U19" s="848"/>
      <c r="V19" s="848" t="s">
        <v>158</v>
      </c>
      <c r="W19" s="848"/>
      <c r="X19" s="848" t="s">
        <v>159</v>
      </c>
      <c r="Y19" s="848"/>
      <c r="Z19" s="848" t="s">
        <v>160</v>
      </c>
      <c r="AA19" s="848"/>
      <c r="AB19" s="848" t="s">
        <v>161</v>
      </c>
      <c r="AC19" s="848"/>
      <c r="AD19" s="848" t="s">
        <v>162</v>
      </c>
      <c r="AE19" s="848"/>
      <c r="AF19" s="848" t="s">
        <v>163</v>
      </c>
      <c r="AG19" s="848"/>
      <c r="AH19" s="848" t="s">
        <v>164</v>
      </c>
      <c r="AI19" s="848"/>
      <c r="AJ19" s="633" t="s">
        <v>165</v>
      </c>
      <c r="AK19" s="634"/>
      <c r="AL19" s="635"/>
    </row>
    <row r="20" spans="1:38" ht="20.100000000000001" customHeight="1" x14ac:dyDescent="0.25">
      <c r="A20" s="631" t="s">
        <v>49</v>
      </c>
      <c r="B20" s="632"/>
      <c r="C20" s="632"/>
      <c r="D20" s="632"/>
      <c r="E20" s="632"/>
      <c r="F20" s="632"/>
      <c r="G20" s="632"/>
      <c r="H20" s="632"/>
      <c r="I20" s="632"/>
      <c r="J20" s="846">
        <f>COUNTIFS('CLIENT ENROLLMENT DISCHARGE '!D15:D1001,"&gt;=07/01/2000",'CLIENT ENROLLMENT DISCHARGE '!D15:D1001,"&lt;=06/30/2020",'CLIENT ENROLLMENT DISCHARGE '!E15:E1001,"Developmental")</f>
        <v>0</v>
      </c>
      <c r="K20" s="847"/>
      <c r="L20" s="845" t="e">
        <f>COUNTIFS('[2]CLIENT ENROLLMENT DISCHARGE'!E15:E1001,"Developmental")</f>
        <v>#VALUE!</v>
      </c>
      <c r="M20" s="845"/>
      <c r="N20" s="845">
        <f>COUNTIFS('CLIENT ENROLLMENT DISCHARGE '!D15:D1001,"&gt;=08/01/2020",'CLIENT ENROLLMENT DISCHARGE '!D15:D1001,"&lt;=08/31/2020",'CLIENT ENROLLMENT DISCHARGE '!E15:E1001,"Developmental")</f>
        <v>0</v>
      </c>
      <c r="O20" s="845"/>
      <c r="P20" s="845">
        <f>COUNTIFS('CLIENT ENROLLMENT DISCHARGE '!D15:D1001,"&gt;=09/01/2020",'CLIENT ENROLLMENT DISCHARGE '!D15:D1001,"&lt;=09/30/2020",'CLIENT ENROLLMENT DISCHARGE '!E15:E1001,"Developmental")</f>
        <v>0</v>
      </c>
      <c r="Q20" s="845"/>
      <c r="R20" s="845">
        <f>COUNTIFS('CLIENT ENROLLMENT DISCHARGE '!D15:D1001,"&gt;=10/01/2020",'CLIENT ENROLLMENT DISCHARGE '!D15:D1001,"&lt;=10/31/2020",'CLIENT ENROLLMENT DISCHARGE '!E15:E1001,"Developmental")</f>
        <v>0</v>
      </c>
      <c r="S20" s="845"/>
      <c r="T20" s="845">
        <f>COUNTIFS('CLIENT ENROLLMENT DISCHARGE '!D15:D1001,"&gt;=11/01/2020",'CLIENT ENROLLMENT DISCHARGE '!D15:D1001,"&lt;=11/30/2020",'CLIENT ENROLLMENT DISCHARGE '!E15:E1001,"Developmental")</f>
        <v>0</v>
      </c>
      <c r="U20" s="845"/>
      <c r="V20" s="845">
        <f>COUNTIFS('CLIENT ENROLLMENT DISCHARGE '!D15:D1001,"&gt;=12/01/2020",'CLIENT ENROLLMENT DISCHARGE '!D15:D1001,"&lt;=12/31/2020",'CLIENT ENROLLMENT DISCHARGE '!E15:E1001,"Developmental")</f>
        <v>0</v>
      </c>
      <c r="W20" s="845"/>
      <c r="X20" s="845">
        <f>COUNTIFS('CLIENT ENROLLMENT DISCHARGE '!D15:D1001,"&gt;=01/01/2021",'CLIENT ENROLLMENT DISCHARGE '!D15:D1001,"&lt;=01/31/2021",'CLIENT ENROLLMENT DISCHARGE '!E15:E1001,"Developmental")</f>
        <v>0</v>
      </c>
      <c r="Y20" s="845"/>
      <c r="Z20" s="845">
        <f>COUNTIFS('CLIENT ENROLLMENT DISCHARGE '!D15:D1001,"&gt;=02/01/2021",'CLIENT ENROLLMENT DISCHARGE '!D15:D1001,"&lt;=02/28/2021",'CLIENT ENROLLMENT DISCHARGE '!E15:E1001,"Developmental")</f>
        <v>0</v>
      </c>
      <c r="AA20" s="845"/>
      <c r="AB20" s="845">
        <f>COUNTIFS('CLIENT ENROLLMENT DISCHARGE '!D15:D1001,"&gt;=03/01/2021",'CLIENT ENROLLMENT DISCHARGE '!D15:D1001,"&lt;=03/31/2021",'CLIENT ENROLLMENT DISCHARGE '!E15:E1001,"Developmental")</f>
        <v>0</v>
      </c>
      <c r="AC20" s="845"/>
      <c r="AD20" s="845">
        <f>COUNTIFS('CLIENT ENROLLMENT DISCHARGE '!D15:D1001,"&gt;=04/01/2021",'CLIENT ENROLLMENT DISCHARGE '!D15:D1001,"&lt;=04/30/2021",'CLIENT ENROLLMENT DISCHARGE '!E15:E1001,"Developmental")</f>
        <v>0</v>
      </c>
      <c r="AE20" s="845"/>
      <c r="AF20" s="845">
        <f>COUNTIFS('CLIENT ENROLLMENT DISCHARGE '!D15:D1001,"&gt;=05/01/2021",'CLIENT ENROLLMENT DISCHARGE '!D15:D1001,"&lt;=05/31/2021",'CLIENT ENROLLMENT DISCHARGE '!E15:E1001,"Developmental")</f>
        <v>0</v>
      </c>
      <c r="AG20" s="845"/>
      <c r="AH20" s="845">
        <f>COUNTIFS('CLIENT ENROLLMENT DISCHARGE '!D15:D1001,"&gt;=06/01/2021",'CLIENT ENROLLMENT DISCHARGE '!D15:D1001,"&lt;=06/30/2021",'CLIENT ENROLLMENT DISCHARGE '!E15:E1001,"Developmental")</f>
        <v>0</v>
      </c>
      <c r="AI20" s="845"/>
      <c r="AJ20" s="626" t="e">
        <f>SUM(J20:AH20)</f>
        <v>#VALUE!</v>
      </c>
      <c r="AK20" s="627"/>
      <c r="AL20" s="628"/>
    </row>
    <row r="21" spans="1:38" ht="20.100000000000001" customHeight="1" x14ac:dyDescent="0.25">
      <c r="A21" s="631" t="s">
        <v>54</v>
      </c>
      <c r="B21" s="632"/>
      <c r="C21" s="632"/>
      <c r="D21" s="632"/>
      <c r="E21" s="632"/>
      <c r="F21" s="632"/>
      <c r="G21" s="632"/>
      <c r="H21" s="632"/>
      <c r="I21" s="632"/>
      <c r="J21" s="846">
        <f>COUNTIFS('CLIENT ENROLLMENT DISCHARGE '!D15:D1001,"&gt;=07/01/2000",'CLIENT ENROLLMENT DISCHARGE '!D15:D1001,"&lt;=06/30/2020",'CLIENT ENROLLMENT DISCHARGE '!E15:E1001,"Intellectual")</f>
        <v>0</v>
      </c>
      <c r="K21" s="847"/>
      <c r="L21" s="845">
        <f>COUNTIFS('CLIENT ENROLLMENT DISCHARGE '!D15:D1001,"&gt;=07/01/2020",'CLIENT ENROLLMENT DISCHARGE '!D15:D1001,"&lt;=07/30/2020",'CLIENT ENROLLMENT DISCHARGE '!E15:E1001,"Intellectual")</f>
        <v>0</v>
      </c>
      <c r="M21" s="845"/>
      <c r="N21" s="845">
        <f>COUNTIFS('CLIENT ENROLLMENT DISCHARGE '!D15:D1001,"&gt;=08/01/2020",'CLIENT ENROLLMENT DISCHARGE '!D15:D1001,"&lt;=08/31/2020",'CLIENT ENROLLMENT DISCHARGE '!E15:E1001,"Intellectual")</f>
        <v>0</v>
      </c>
      <c r="O21" s="845"/>
      <c r="P21" s="845">
        <f>COUNTIFS('CLIENT ENROLLMENT DISCHARGE '!D15:D1001,"&gt;=09/01/2020",'CLIENT ENROLLMENT DISCHARGE '!D15:D1001,"&lt;=09/30/2020",'CLIENT ENROLLMENT DISCHARGE '!E15:E1001,"Intellectual")</f>
        <v>0</v>
      </c>
      <c r="Q21" s="845"/>
      <c r="R21" s="845">
        <f>COUNTIFS('CLIENT ENROLLMENT DISCHARGE '!D15:D1001,"&gt;=10/01/2020",'CLIENT ENROLLMENT DISCHARGE '!D15:D1001,"&lt;=10/31/2020",'CLIENT ENROLLMENT DISCHARGE '!E15:E1001,"Intellectual")</f>
        <v>0</v>
      </c>
      <c r="S21" s="845"/>
      <c r="T21" s="845">
        <f>COUNTIFS('CLIENT ENROLLMENT DISCHARGE '!D15:D1001,"&gt;=11/01/2020",'CLIENT ENROLLMENT DISCHARGE '!D15:D1001,"&lt;=11/30/2020",'CLIENT ENROLLMENT DISCHARGE '!E15:E1001,"Intellectual")</f>
        <v>0</v>
      </c>
      <c r="U21" s="845"/>
      <c r="V21" s="845">
        <f>COUNTIFS('CLIENT ENROLLMENT DISCHARGE '!D15:D1001,"&gt;=12/01/2020",'CLIENT ENROLLMENT DISCHARGE '!D15:D1001,"&lt;=12/31/2020",'CLIENT ENROLLMENT DISCHARGE '!E15:E1001,"Intellectual")</f>
        <v>0</v>
      </c>
      <c r="W21" s="845"/>
      <c r="X21" s="845">
        <f>COUNTIFS('CLIENT ENROLLMENT DISCHARGE '!D15:D1001,"&gt;=01/01/2021",'CLIENT ENROLLMENT DISCHARGE '!D15:D1001,"&lt;=01/31/2021",'CLIENT ENROLLMENT DISCHARGE '!E15:E1001,"Intellectual")</f>
        <v>0</v>
      </c>
      <c r="Y21" s="845"/>
      <c r="Z21" s="845">
        <f>COUNTIFS('CLIENT ENROLLMENT DISCHARGE '!D15:D1001,"&gt;=02/01/2021",'CLIENT ENROLLMENT DISCHARGE '!D15:D1001,"&lt;=02/28/2021",'CLIENT ENROLLMENT DISCHARGE '!E15:E1001,"Intellectual")</f>
        <v>0</v>
      </c>
      <c r="AA21" s="845"/>
      <c r="AB21" s="845">
        <f>COUNTIFS('CLIENT ENROLLMENT DISCHARGE '!D15:D1001,"&gt;=03/01/2021",'CLIENT ENROLLMENT DISCHARGE '!D15:D1001,"&lt;=03/31/2021",'CLIENT ENROLLMENT DISCHARGE '!E15:E1001,"Intellectual")</f>
        <v>0</v>
      </c>
      <c r="AC21" s="845"/>
      <c r="AD21" s="845">
        <f>COUNTIFS('CLIENT ENROLLMENT DISCHARGE '!D15:D1001,"&gt;=04/01/2021",'CLIENT ENROLLMENT DISCHARGE '!D15:D1001,"&lt;=04/30/2021",'CLIENT ENROLLMENT DISCHARGE '!E15:E1001,"Intellectual")</f>
        <v>0</v>
      </c>
      <c r="AE21" s="845"/>
      <c r="AF21" s="845">
        <f>COUNTIFS('CLIENT ENROLLMENT DISCHARGE '!D15:D1001,"&gt;=05/01/2021",'CLIENT ENROLLMENT DISCHARGE '!D15:D1001,"&lt;=05/31/2021",'CLIENT ENROLLMENT DISCHARGE '!E15:E1001,"Intellectual")</f>
        <v>0</v>
      </c>
      <c r="AG21" s="845"/>
      <c r="AH21" s="845">
        <f>COUNTIFS('CLIENT ENROLLMENT DISCHARGE '!D15:D1001,"&gt;=06/01/2021",'CLIENT ENROLLMENT DISCHARGE '!D15:D1001,"&lt;=06/30/2021",'CLIENT ENROLLMENT DISCHARGE '!E15:E1001,"Intellectual")</f>
        <v>0</v>
      </c>
      <c r="AI21" s="845"/>
      <c r="AJ21" s="626">
        <f>SUM(J21:AH21)</f>
        <v>0</v>
      </c>
      <c r="AK21" s="627"/>
      <c r="AL21" s="628"/>
    </row>
    <row r="22" spans="1:38" ht="20.100000000000001" customHeight="1" x14ac:dyDescent="0.25">
      <c r="A22" s="631" t="s">
        <v>172</v>
      </c>
      <c r="B22" s="632"/>
      <c r="C22" s="632"/>
      <c r="D22" s="632"/>
      <c r="E22" s="632"/>
      <c r="F22" s="632"/>
      <c r="G22" s="632"/>
      <c r="H22" s="632"/>
      <c r="I22" s="632"/>
      <c r="J22" s="846">
        <f>COUNTIFS('CLIENT ENROLLMENT DISCHARGE '!D15:D1001,"&gt;=07/01/2000",'CLIENT ENROLLMENT DISCHARGE '!D15:D1001,"&lt;=06/30/2020",'CLIENT ENROLLMENT DISCHARGE '!E15:E1001,"TBI")</f>
        <v>0</v>
      </c>
      <c r="K22" s="847"/>
      <c r="L22" s="845">
        <f>COUNTIFS('CLIENT ENROLLMENT DISCHARGE '!D15:D1001,"&gt;=07/01/2020",'CLIENT ENROLLMENT DISCHARGE '!D15:D1001,"&lt;=07/30/2020",'CLIENT ENROLLMENT DISCHARGE '!E15:E1001,"TBI")</f>
        <v>0</v>
      </c>
      <c r="M22" s="845"/>
      <c r="N22" s="845">
        <f>COUNTIFS('CLIENT ENROLLMENT DISCHARGE '!D15:D1001,"&gt;=08/01/2020",'CLIENT ENROLLMENT DISCHARGE '!D15:D1001,"&lt;=08/31/2020",'CLIENT ENROLLMENT DISCHARGE '!E15:E1001,"TBI")</f>
        <v>0</v>
      </c>
      <c r="O22" s="845"/>
      <c r="P22" s="845">
        <f>COUNTIFS('CLIENT ENROLLMENT DISCHARGE '!D15:D1001,"&gt;=09/01/2020",'CLIENT ENROLLMENT DISCHARGE '!D15:D1001,"&lt;=09/30/2020",'CLIENT ENROLLMENT DISCHARGE '!E15:E1001,"TBI")</f>
        <v>0</v>
      </c>
      <c r="Q22" s="845"/>
      <c r="R22" s="845">
        <f>COUNTIFS('CLIENT ENROLLMENT DISCHARGE '!D15:D1001,"&gt;=10/01/2020",'CLIENT ENROLLMENT DISCHARGE '!D15:D1001,"&lt;=10/31/2020",'CLIENT ENROLLMENT DISCHARGE '!E15:E1001,"TBI")</f>
        <v>0</v>
      </c>
      <c r="S22" s="845"/>
      <c r="T22" s="845">
        <f>COUNTIFS('CLIENT ENROLLMENT DISCHARGE '!D15:D1001,"&gt;=11/01/2020",'CLIENT ENROLLMENT DISCHARGE '!D15:D1001,"&lt;=11/30/2020",'CLIENT ENROLLMENT DISCHARGE '!E15:E1001,"TBI")</f>
        <v>0</v>
      </c>
      <c r="U22" s="845"/>
      <c r="V22" s="845">
        <f>COUNTIFS('CLIENT ENROLLMENT DISCHARGE '!D15:D1001,"&gt;=12/01/2020",'CLIENT ENROLLMENT DISCHARGE '!D15:D1001,"&lt;=12/31/2020",'CLIENT ENROLLMENT DISCHARGE '!E15:E1001,"TBI")</f>
        <v>0</v>
      </c>
      <c r="W22" s="845"/>
      <c r="X22" s="845">
        <f>COUNTIFS('CLIENT ENROLLMENT DISCHARGE '!D15:D1001,"&gt;=01/01/2021",'CLIENT ENROLLMENT DISCHARGE '!D15:D1001,"&lt;=01/31/2021",'CLIENT ENROLLMENT DISCHARGE '!E15:E1001,"TBI")</f>
        <v>0</v>
      </c>
      <c r="Y22" s="845"/>
      <c r="Z22" s="845">
        <f>COUNTIFS('CLIENT ENROLLMENT DISCHARGE '!D15:D1001,"&gt;=02/01/2021",'CLIENT ENROLLMENT DISCHARGE '!D15:D1001,"&lt;=02/28/2021",'CLIENT ENROLLMENT DISCHARGE '!E15:E1001,"TBI")</f>
        <v>0</v>
      </c>
      <c r="AA22" s="845"/>
      <c r="AB22" s="845">
        <f>COUNTIFS('CLIENT ENROLLMENT DISCHARGE '!D15:D1001,"&gt;=03/01/2021",'CLIENT ENROLLMENT DISCHARGE '!D15:D1001,"&lt;=03/31/2021",'CLIENT ENROLLMENT DISCHARGE '!E15:E1001,"TBI")</f>
        <v>0</v>
      </c>
      <c r="AC22" s="845"/>
      <c r="AD22" s="845">
        <f>COUNTIFS('CLIENT ENROLLMENT DISCHARGE '!D15:D1001,"&gt;=04/01/2021",'CLIENT ENROLLMENT DISCHARGE '!D15:D1001,"&lt;=04/30/2021",'CLIENT ENROLLMENT DISCHARGE '!E15:E1001,"TBI")</f>
        <v>0</v>
      </c>
      <c r="AE22" s="845"/>
      <c r="AF22" s="845">
        <f>COUNTIFS('CLIENT ENROLLMENT DISCHARGE '!D15:D1001,"&gt;=05/01/2021",'CLIENT ENROLLMENT DISCHARGE '!D15:D1001,"&lt;=05/31/2021",'CLIENT ENROLLMENT DISCHARGE '!E15:E1001,"TBI")</f>
        <v>0</v>
      </c>
      <c r="AG22" s="845"/>
      <c r="AH22" s="845">
        <f>COUNTIFS('CLIENT ENROLLMENT DISCHARGE '!D15:D1001,"&gt;=06/01/2021",'CLIENT ENROLLMENT DISCHARGE '!D15:D1001,"&lt;=06/30/2021",'CLIENT ENROLLMENT DISCHARGE '!E15:E1001,"TBI")</f>
        <v>0</v>
      </c>
      <c r="AI22" s="845"/>
      <c r="AJ22" s="626">
        <f>SUM(J22:AH22)</f>
        <v>0</v>
      </c>
      <c r="AK22" s="627"/>
      <c r="AL22" s="628"/>
    </row>
    <row r="23" spans="1:38" ht="30" customHeight="1" x14ac:dyDescent="0.25">
      <c r="A23" s="629" t="s">
        <v>173</v>
      </c>
      <c r="B23" s="630"/>
      <c r="C23" s="630"/>
      <c r="D23" s="630"/>
      <c r="E23" s="630"/>
      <c r="F23" s="630"/>
      <c r="G23" s="630"/>
      <c r="H23" s="630"/>
      <c r="I23" s="630"/>
      <c r="J23" s="843">
        <f>SUM(J19:J22)</f>
        <v>0</v>
      </c>
      <c r="K23" s="844"/>
      <c r="L23" s="839" t="e">
        <f>SUM(L19:L22)</f>
        <v>#VALUE!</v>
      </c>
      <c r="M23" s="840"/>
      <c r="N23" s="839">
        <f>SUM(N19:N22)</f>
        <v>0</v>
      </c>
      <c r="O23" s="840"/>
      <c r="P23" s="839">
        <f>SUM(P19:P22)</f>
        <v>0</v>
      </c>
      <c r="Q23" s="840"/>
      <c r="R23" s="839">
        <f>SUM(R19:R22)</f>
        <v>0</v>
      </c>
      <c r="S23" s="840"/>
      <c r="T23" s="839">
        <f>SUM(T19:T22)</f>
        <v>0</v>
      </c>
      <c r="U23" s="840"/>
      <c r="V23" s="839">
        <f>SUM(V19:V22)</f>
        <v>0</v>
      </c>
      <c r="W23" s="840"/>
      <c r="X23" s="839">
        <f>SUM(X19:X22)</f>
        <v>0</v>
      </c>
      <c r="Y23" s="840"/>
      <c r="Z23" s="839">
        <f>SUM(Z19:Z22)</f>
        <v>0</v>
      </c>
      <c r="AA23" s="840"/>
      <c r="AB23" s="839">
        <f>SUM(AB19:AB22)</f>
        <v>0</v>
      </c>
      <c r="AC23" s="840"/>
      <c r="AD23" s="839">
        <f>SUM(AD19:AD22)</f>
        <v>0</v>
      </c>
      <c r="AE23" s="840"/>
      <c r="AF23" s="839">
        <f>SUM(AF19:AF22)</f>
        <v>0</v>
      </c>
      <c r="AG23" s="840"/>
      <c r="AH23" s="839">
        <f>SUM(AH19:AH22)</f>
        <v>0</v>
      </c>
      <c r="AI23" s="840"/>
      <c r="AJ23" s="622" t="e">
        <f>SUM(AJ19:AJ22)</f>
        <v>#VALUE!</v>
      </c>
      <c r="AK23" s="623"/>
      <c r="AL23" s="624"/>
    </row>
    <row r="24" spans="1:38" ht="30" customHeight="1" x14ac:dyDescent="0.25">
      <c r="A24" s="521" t="s">
        <v>174</v>
      </c>
      <c r="B24" s="625"/>
      <c r="C24" s="625"/>
      <c r="D24" s="625"/>
      <c r="E24" s="625"/>
      <c r="F24" s="625"/>
      <c r="G24" s="625"/>
      <c r="H24" s="625"/>
      <c r="I24" s="625"/>
      <c r="J24" s="841" t="s">
        <v>152</v>
      </c>
      <c r="K24" s="842"/>
      <c r="L24" s="621" t="s">
        <v>153</v>
      </c>
      <c r="M24" s="621"/>
      <c r="N24" s="621" t="s">
        <v>154</v>
      </c>
      <c r="O24" s="621"/>
      <c r="P24" s="621" t="s">
        <v>155</v>
      </c>
      <c r="Q24" s="621"/>
      <c r="R24" s="621" t="s">
        <v>156</v>
      </c>
      <c r="S24" s="621"/>
      <c r="T24" s="621" t="s">
        <v>157</v>
      </c>
      <c r="U24" s="621"/>
      <c r="V24" s="621" t="s">
        <v>158</v>
      </c>
      <c r="W24" s="621"/>
      <c r="X24" s="621" t="s">
        <v>159</v>
      </c>
      <c r="Y24" s="621"/>
      <c r="Z24" s="621" t="s">
        <v>160</v>
      </c>
      <c r="AA24" s="621"/>
      <c r="AB24" s="621" t="s">
        <v>161</v>
      </c>
      <c r="AC24" s="621"/>
      <c r="AD24" s="621" t="s">
        <v>162</v>
      </c>
      <c r="AE24" s="621"/>
      <c r="AF24" s="621" t="s">
        <v>163</v>
      </c>
      <c r="AG24" s="621"/>
      <c r="AH24" s="621" t="s">
        <v>164</v>
      </c>
      <c r="AI24" s="621"/>
      <c r="AJ24" s="621" t="s">
        <v>165</v>
      </c>
      <c r="AK24" s="621"/>
      <c r="AL24" s="621"/>
    </row>
    <row r="25" spans="1:38" ht="20.100000000000001" customHeight="1" x14ac:dyDescent="0.25">
      <c r="A25" s="525" t="s">
        <v>175</v>
      </c>
      <c r="B25" s="526"/>
      <c r="C25" s="526"/>
      <c r="D25" s="526"/>
      <c r="E25" s="526"/>
      <c r="F25" s="526"/>
      <c r="G25" s="526"/>
      <c r="H25" s="526"/>
      <c r="I25" s="526"/>
      <c r="J25" s="837">
        <f>COUNTIFS('CLIENT ENROLLMENT DISCHARGE '!D15:D5000,"&gt;=07/01/2010",'CLIENT ENROLLMENT DISCHARGE '!D15:D5000,"&lt;=06/30/2020",'CLIENT ENROLLMENT DISCHARGE '!F15:F5000,"&gt;=18",'CLIENT ENROLLMENT DISCHARGE '!F15:F5000,"&lt;=20")</f>
        <v>0</v>
      </c>
      <c r="K25" s="838"/>
      <c r="L25" s="616" t="e">
        <f>COUNTIFS('[2]CLIENT ENROLLMENT DISCHARGE'!F15:F5000,"&gt;=18",'CLIENT ENROLLMENT DISCHARGE '!F15:F5000,"&lt;=20")</f>
        <v>#VALUE!</v>
      </c>
      <c r="M25" s="618"/>
      <c r="N25" s="616">
        <f>COUNTIFS('CLIENT ENROLLMENT DISCHARGE '!D15:D5000,"&gt;=08/01/2020",'CLIENT ENROLLMENT DISCHARGE '!D15:D5000,"&lt;=08/31/2020",'CLIENT ENROLLMENT DISCHARGE '!F15:F5000,"&gt;=18",'CLIENT ENROLLMENT DISCHARGE '!F15:F5000,"&lt;=20")</f>
        <v>0</v>
      </c>
      <c r="O25" s="618"/>
      <c r="P25" s="616">
        <f>COUNTIFS('CLIENT ENROLLMENT DISCHARGE '!D15:D5000,"&gt;=09/01/2020",'CLIENT ENROLLMENT DISCHARGE '!D15:D5000,"&lt;=09/30/2020",'CLIENT ENROLLMENT DISCHARGE '!F15:F5000,"&gt;=18",'CLIENT ENROLLMENT DISCHARGE '!F15:F5000,"&lt;=20")</f>
        <v>0</v>
      </c>
      <c r="Q25" s="618"/>
      <c r="R25" s="616">
        <f>COUNTIFS('CLIENT ENROLLMENT DISCHARGE '!D15:D5000,"&gt;=10/01/2020",'CLIENT ENROLLMENT DISCHARGE '!D15:D5000,"&lt;=10/31/2020",'CLIENT ENROLLMENT DISCHARGE '!F15:F5000,"&gt;=18",'CLIENT ENROLLMENT DISCHARGE '!F15:F5000,"&lt;=20")</f>
        <v>0</v>
      </c>
      <c r="S25" s="618"/>
      <c r="T25" s="616">
        <f>COUNTIFS('CLIENT ENROLLMENT DISCHARGE '!D15:D5000,"&gt;=11/01/2020",'CLIENT ENROLLMENT DISCHARGE '!D15:D5000,"&lt;=11/30/2020",'CLIENT ENROLLMENT DISCHARGE '!F15:F5000,"&gt;=18",'CLIENT ENROLLMENT DISCHARGE '!F15:F5000,"&lt;=20")</f>
        <v>0</v>
      </c>
      <c r="U25" s="618"/>
      <c r="V25" s="616">
        <f>COUNTIFS('CLIENT ENROLLMENT DISCHARGE '!D15:D5000,"&gt;=12/01/2020",'CLIENT ENROLLMENT DISCHARGE '!D15:D5000,"&lt;=12/31/2020",'CLIENT ENROLLMENT DISCHARGE '!F15:F5000,"&gt;=18",'CLIENT ENROLLMENT DISCHARGE '!F15:F5000,"&lt;=20")</f>
        <v>0</v>
      </c>
      <c r="W25" s="618"/>
      <c r="X25" s="836">
        <f>COUNTIFS('CLIENT ENROLLMENT DISCHARGE '!D15:D5000,"&gt;=01/01/2021",'CLIENT ENROLLMENT DISCHARGE '!D15:D5000,"&lt;=01/31/2021",'CLIENT ENROLLMENT DISCHARGE '!F15:F5000,"&gt;=18",'CLIENT ENROLLMENT DISCHARGE '!F15:F5000,"&lt;=20")</f>
        <v>0</v>
      </c>
      <c r="Y25" s="836"/>
      <c r="Z25" s="836">
        <f>COUNTIFS('CLIENT ENROLLMENT DISCHARGE '!D15:D5000,"&gt;=02/01/2021",'CLIENT ENROLLMENT DISCHARGE '!D15:D5000,"&lt;=02/28/2021",'CLIENT ENROLLMENT DISCHARGE '!F15:F5000,"&gt;=18",'CLIENT ENROLLMENT DISCHARGE '!F15:F5000,"&lt;=20")</f>
        <v>0</v>
      </c>
      <c r="AA25" s="836"/>
      <c r="AB25" s="836">
        <f>COUNTIFS('CLIENT ENROLLMENT DISCHARGE '!D15:D5000,"&gt;=03/01/2021",'CLIENT ENROLLMENT DISCHARGE '!D15:D5000,"&lt;=03/31/2021",'CLIENT ENROLLMENT DISCHARGE '!F15:F5000,"&gt;=18",'CLIENT ENROLLMENT DISCHARGE '!F15:F5000,"&lt;=20")</f>
        <v>0</v>
      </c>
      <c r="AC25" s="836"/>
      <c r="AD25" s="836">
        <f>COUNTIFS('CLIENT ENROLLMENT DISCHARGE '!D15:D5000,"&gt;=04/01/2021",'CLIENT ENROLLMENT DISCHARGE '!D15:D5000,"&lt;=04/30/2021",'CLIENT ENROLLMENT DISCHARGE '!F15:F5000,"&gt;=18",'CLIENT ENROLLMENT DISCHARGE '!F15:F5000,"&lt;=20")</f>
        <v>0</v>
      </c>
      <c r="AE25" s="836"/>
      <c r="AF25" s="836">
        <f>COUNTIFS('CLIENT ENROLLMENT DISCHARGE '!D15:D5000,"&gt;=05/01/2021",'CLIENT ENROLLMENT DISCHARGE '!D15:D5000,"&lt;=05/31/2021",'CLIENT ENROLLMENT DISCHARGE '!F15:F5000,"&gt;=18",'CLIENT ENROLLMENT DISCHARGE '!F15:F5000,"&lt;=20")</f>
        <v>0</v>
      </c>
      <c r="AG25" s="836"/>
      <c r="AH25" s="836">
        <f>COUNTIFS('CLIENT ENROLLMENT DISCHARGE '!D15:D5000,"&gt;=06/01/2021",'CLIENT ENROLLMENT DISCHARGE '!D15:D5000,"&lt;=06/30/2021",'CLIENT ENROLLMENT DISCHARGE '!F15:F5000,"&gt;=18",'CLIENT ENROLLMENT DISCHARGE '!F15:F5000,"&lt;=20")</f>
        <v>0</v>
      </c>
      <c r="AI25" s="836"/>
      <c r="AJ25" s="616" t="e">
        <f>SUM(I25:AI25)</f>
        <v>#VALUE!</v>
      </c>
      <c r="AK25" s="617"/>
      <c r="AL25" s="618"/>
    </row>
    <row r="26" spans="1:38" ht="20.100000000000001" customHeight="1" x14ac:dyDescent="0.25">
      <c r="A26" s="525" t="s">
        <v>176</v>
      </c>
      <c r="B26" s="526"/>
      <c r="C26" s="526"/>
      <c r="D26" s="526"/>
      <c r="E26" s="526"/>
      <c r="F26" s="526"/>
      <c r="G26" s="526"/>
      <c r="H26" s="526"/>
      <c r="I26" s="526"/>
      <c r="J26" s="837">
        <f>COUNTIFS('CLIENT ENROLLMENT DISCHARGE '!D15:D5000,"&gt;=07/01/2010",'CLIENT ENROLLMENT DISCHARGE '!D15:D5000,"&lt;=06/30/2020",'CLIENT ENROLLMENT DISCHARGE '!F15:F5000,"&gt;=21",'CLIENT ENROLLMENT DISCHARGE '!F15:F5000,"&lt;=24")</f>
        <v>0</v>
      </c>
      <c r="K26" s="838"/>
      <c r="L26" s="616">
        <f>COUNTIFS('CLIENT ENROLLMENT DISCHARGE '!D15:D5000,"&gt;=07/01/2020",'CLIENT ENROLLMENT DISCHARGE '!D15:D5000,"&lt;=07/31/2020",'CLIENT ENROLLMENT DISCHARGE '!F15:F5000,"&gt;=21",'CLIENT ENROLLMENT DISCHARGE '!F15:F5000,"&lt;=24")</f>
        <v>0</v>
      </c>
      <c r="M26" s="618"/>
      <c r="N26" s="616">
        <f>COUNTIFS('CLIENT ENROLLMENT DISCHARGE '!D15:D5000,"&gt;=08/01/2020",'CLIENT ENROLLMENT DISCHARGE '!D15:D5000,"&lt;=08/31/2020",'CLIENT ENROLLMENT DISCHARGE '!F15:F5000,"&gt;=21",'CLIENT ENROLLMENT DISCHARGE '!F15:F5000,"&lt;=24")</f>
        <v>0</v>
      </c>
      <c r="O26" s="618"/>
      <c r="P26" s="616">
        <f>COUNTIFS('CLIENT ENROLLMENT DISCHARGE '!D15:D5000,"&gt;=09/01/2020",'CLIENT ENROLLMENT DISCHARGE '!D15:D5000,"&lt;=09/30/2020",'CLIENT ENROLLMENT DISCHARGE '!F15:F5000,"&gt;=21",'CLIENT ENROLLMENT DISCHARGE '!F15:F5000,"&lt;=24")</f>
        <v>0</v>
      </c>
      <c r="Q26" s="618"/>
      <c r="R26" s="616">
        <f>COUNTIFS('CLIENT ENROLLMENT DISCHARGE '!D15:D5000,"&gt;=10/01/2020",'CLIENT ENROLLMENT DISCHARGE '!D15:D5000,"&lt;=10/31/2020",'CLIENT ENROLLMENT DISCHARGE '!F15:F5000,"&gt;=21",'CLIENT ENROLLMENT DISCHARGE '!F15:F5000,"&lt;=24")</f>
        <v>0</v>
      </c>
      <c r="S26" s="618"/>
      <c r="T26" s="616">
        <f>COUNTIFS('CLIENT ENROLLMENT DISCHARGE '!D15:D5000,"&gt;=11/01/2020",'CLIENT ENROLLMENT DISCHARGE '!D15:D5000,"&lt;=11/30/2020",'CLIENT ENROLLMENT DISCHARGE '!F15:F5000,"&gt;=21",'CLIENT ENROLLMENT DISCHARGE '!F15:F5000,"&lt;=24")</f>
        <v>0</v>
      </c>
      <c r="U26" s="618"/>
      <c r="V26" s="616">
        <f>COUNTIFS('CLIENT ENROLLMENT DISCHARGE '!D15:D5000,"&gt;=12/01/2020",'CLIENT ENROLLMENT DISCHARGE '!D15:D5000,"&lt;=12/31/2020",'CLIENT ENROLLMENT DISCHARGE '!F15:F5000,"&gt;=21",'CLIENT ENROLLMENT DISCHARGE '!F15:F5000,"&lt;=24")</f>
        <v>0</v>
      </c>
      <c r="W26" s="618"/>
      <c r="X26" s="836">
        <f>COUNTIFS('CLIENT ENROLLMENT DISCHARGE '!D15:D5000,"&gt;=01/01/2021",'CLIENT ENROLLMENT DISCHARGE '!D15:D5000,"&lt;=01/31/2021",'CLIENT ENROLLMENT DISCHARGE '!F15:F5000,"&gt;=21",'CLIENT ENROLLMENT DISCHARGE '!F15:F5000,"&lt;=24")</f>
        <v>0</v>
      </c>
      <c r="Y26" s="836"/>
      <c r="Z26" s="836">
        <f>COUNTIFS('CLIENT ENROLLMENT DISCHARGE '!D15:D5000,"&gt;=02/01/2021",'CLIENT ENROLLMENT DISCHARGE '!D15:D5000,"&lt;=02/28/2021",'CLIENT ENROLLMENT DISCHARGE '!F15:F5000,"&gt;=21",'CLIENT ENROLLMENT DISCHARGE '!F15:F5000,"&lt;=24")</f>
        <v>0</v>
      </c>
      <c r="AA26" s="836"/>
      <c r="AB26" s="836">
        <f>COUNTIFS('CLIENT ENROLLMENT DISCHARGE '!D15:D5000,"&gt;=03/01/2021",'CLIENT ENROLLMENT DISCHARGE '!D15:D5000,"&lt;=03/31/2021",'CLIENT ENROLLMENT DISCHARGE '!F15:F5000,"&gt;=21",'CLIENT ENROLLMENT DISCHARGE '!F15:F5000,"&lt;=24")</f>
        <v>0</v>
      </c>
      <c r="AC26" s="836"/>
      <c r="AD26" s="836">
        <f>COUNTIFS('CLIENT ENROLLMENT DISCHARGE '!D15:D5000,"&gt;=04/01/2021",'CLIENT ENROLLMENT DISCHARGE '!D15:D5000,"&lt;=04/30/2021",'CLIENT ENROLLMENT DISCHARGE '!F15:F5000,"&gt;=21",'CLIENT ENROLLMENT DISCHARGE '!F15:F5000,"&lt;=24")</f>
        <v>0</v>
      </c>
      <c r="AE26" s="836"/>
      <c r="AF26" s="836">
        <f>COUNTIFS('CLIENT ENROLLMENT DISCHARGE '!D15:D5000,"&gt;=05/01/2021",'CLIENT ENROLLMENT DISCHARGE '!D15:D5000,"&lt;=05/31/2021",'CLIENT ENROLLMENT DISCHARGE '!F15:F5000,"&gt;=21",'CLIENT ENROLLMENT DISCHARGE '!F15:F5000,"&lt;=24")</f>
        <v>0</v>
      </c>
      <c r="AG26" s="836"/>
      <c r="AH26" s="836">
        <f>COUNTIFS('CLIENT ENROLLMENT DISCHARGE '!D15:D5000,"&gt;=06/01/2021",'CLIENT ENROLLMENT DISCHARGE '!D15:D5000,"&lt;=06/30/2021",'CLIENT ENROLLMENT DISCHARGE '!F15:F5000,"&gt;=21",'CLIENT ENROLLMENT DISCHARGE '!F15:F5000,"&lt;=24")</f>
        <v>0</v>
      </c>
      <c r="AI26" s="836"/>
      <c r="AJ26" s="616">
        <f>SUM(I26:AI26)</f>
        <v>0</v>
      </c>
      <c r="AK26" s="617"/>
      <c r="AL26" s="618"/>
    </row>
    <row r="27" spans="1:38" ht="20.100000000000001" customHeight="1" x14ac:dyDescent="0.25">
      <c r="A27" s="525" t="s">
        <v>177</v>
      </c>
      <c r="B27" s="526"/>
      <c r="C27" s="526"/>
      <c r="D27" s="526"/>
      <c r="E27" s="526"/>
      <c r="F27" s="526"/>
      <c r="G27" s="526"/>
      <c r="H27" s="526"/>
      <c r="I27" s="526"/>
      <c r="J27" s="837">
        <f>COUNTIFS('CLIENT ENROLLMENT DISCHARGE '!D15:D5000,"&gt;=07/01/2010",'CLIENT ENROLLMENT DISCHARGE '!D15:D5000,"&lt;=06/30/2020",'CLIENT ENROLLMENT DISCHARGE '!F15:F5000,"&gt;=25",'CLIENT ENROLLMENT DISCHARGE '!F15:F5000,"&lt;=44")</f>
        <v>0</v>
      </c>
      <c r="K27" s="838"/>
      <c r="L27" s="616">
        <f>COUNTIFS('CLIENT ENROLLMENT DISCHARGE '!D15:D5000,"&gt;=07/01/2020",'CLIENT ENROLLMENT DISCHARGE '!D15:D5000,"&lt;=07/31/2020",'CLIENT ENROLLMENT DISCHARGE '!F15:F5000,"&gt;=25",'CLIENT ENROLLMENT DISCHARGE '!F15:F5000,"&lt;=44")</f>
        <v>0</v>
      </c>
      <c r="M27" s="618"/>
      <c r="N27" s="616">
        <f>COUNTIFS('CLIENT ENROLLMENT DISCHARGE '!D15:D5000,"&gt;=08/01/2020",'CLIENT ENROLLMENT DISCHARGE '!D15:D5000,"&lt;=08/31/2020",'CLIENT ENROLLMENT DISCHARGE '!F15:F5000,"&gt;=25",'CLIENT ENROLLMENT DISCHARGE '!F15:F5000,"&lt;=44")</f>
        <v>0</v>
      </c>
      <c r="O27" s="618"/>
      <c r="P27" s="616">
        <f>COUNTIFS('CLIENT ENROLLMENT DISCHARGE '!D15:D5000,"&gt;=09/01/2020",'CLIENT ENROLLMENT DISCHARGE '!D15:D5000,"&lt;=09/30/2020",'CLIENT ENROLLMENT DISCHARGE '!F15:F5000,"&gt;=25",'CLIENT ENROLLMENT DISCHARGE '!F15:F5000,"&lt;=44")</f>
        <v>0</v>
      </c>
      <c r="Q27" s="618"/>
      <c r="R27" s="616">
        <f>COUNTIFS('CLIENT ENROLLMENT DISCHARGE '!D15:D5000,"&gt;=10/01/2020",'CLIENT ENROLLMENT DISCHARGE '!D15:D5000,"&lt;=10/31/2020",'CLIENT ENROLLMENT DISCHARGE '!F15:F5000,"&gt;=25",'CLIENT ENROLLMENT DISCHARGE '!F15:F5000,"&lt;=44")</f>
        <v>0</v>
      </c>
      <c r="S27" s="618"/>
      <c r="T27" s="616">
        <f>COUNTIFS('CLIENT ENROLLMENT DISCHARGE '!D15:D5000,"&gt;=11/01/2020",'CLIENT ENROLLMENT DISCHARGE '!D15:D5000,"&lt;=11/30/2020",'CLIENT ENROLLMENT DISCHARGE '!F15:F5000,"&gt;=25",'CLIENT ENROLLMENT DISCHARGE '!F15:F5000,"&lt;=44")</f>
        <v>0</v>
      </c>
      <c r="U27" s="618"/>
      <c r="V27" s="616">
        <f>COUNTIFS('CLIENT ENROLLMENT DISCHARGE '!D15:D5000,"&gt;=12/01/2020",'CLIENT ENROLLMENT DISCHARGE '!D15:D5000,"&lt;=12/31/2020",'CLIENT ENROLLMENT DISCHARGE '!F15:F5000,"&gt;=25",'CLIENT ENROLLMENT DISCHARGE '!F15:F5000,"&lt;=44")</f>
        <v>0</v>
      </c>
      <c r="W27" s="618"/>
      <c r="X27" s="836">
        <f>COUNTIFS('CLIENT ENROLLMENT DISCHARGE '!D15:D5000,"&gt;=01/01/2021",'CLIENT ENROLLMENT DISCHARGE '!D15:D5000,"&lt;=01/31/2021",'CLIENT ENROLLMENT DISCHARGE '!F15:F5000,"&gt;=25",'CLIENT ENROLLMENT DISCHARGE '!F15:F5000,"&lt;=44")</f>
        <v>0</v>
      </c>
      <c r="Y27" s="836"/>
      <c r="Z27" s="836">
        <f>COUNTIFS('CLIENT ENROLLMENT DISCHARGE '!D15:D5000,"&gt;=02/01/2021",'CLIENT ENROLLMENT DISCHARGE '!D15:D5000,"&lt;=02/28/2021",'CLIENT ENROLLMENT DISCHARGE '!F15:F5000,"&gt;=25",'CLIENT ENROLLMENT DISCHARGE '!F15:F5000,"&lt;=44")</f>
        <v>0</v>
      </c>
      <c r="AA27" s="836"/>
      <c r="AB27" s="836">
        <f>COUNTIFS('CLIENT ENROLLMENT DISCHARGE '!D15:D5000,"&gt;=03/01/2021",'CLIENT ENROLLMENT DISCHARGE '!D15:D5000,"&lt;=03/31/2021",'CLIENT ENROLLMENT DISCHARGE '!F15:F5000,"&gt;=25",'CLIENT ENROLLMENT DISCHARGE '!F15:F5000,"&lt;=44")</f>
        <v>0</v>
      </c>
      <c r="AC27" s="836"/>
      <c r="AD27" s="836">
        <f>COUNTIFS('CLIENT ENROLLMENT DISCHARGE '!D15:D5000,"&gt;=04/01/2021",'CLIENT ENROLLMENT DISCHARGE '!D15:D5000,"&lt;=04/30/2021",'CLIENT ENROLLMENT DISCHARGE '!F15:F5000,"&gt;=25",'CLIENT ENROLLMENT DISCHARGE '!F15:F5000,"&lt;=44")</f>
        <v>0</v>
      </c>
      <c r="AE27" s="836"/>
      <c r="AF27" s="836">
        <f>COUNTIFS('CLIENT ENROLLMENT DISCHARGE '!D15:D5000,"&gt;=05/01/2021",'CLIENT ENROLLMENT DISCHARGE '!D15:D5000,"&lt;=05/31/2021",'CLIENT ENROLLMENT DISCHARGE '!F15:F5000,"&gt;=25",'CLIENT ENROLLMENT DISCHARGE '!F15:F5000,"&lt;=44")</f>
        <v>0</v>
      </c>
      <c r="AG27" s="836"/>
      <c r="AH27" s="836">
        <f>COUNTIFS('CLIENT ENROLLMENT DISCHARGE '!D15:D5000,"&gt;=06/01/2021",'CLIENT ENROLLMENT DISCHARGE '!D15:D5000,"&lt;=06/30/2021",'CLIENT ENROLLMENT DISCHARGE '!F15:F5000,"&gt;=25",'CLIENT ENROLLMENT DISCHARGE '!F15:F5000,"&lt;=44")</f>
        <v>0</v>
      </c>
      <c r="AI27" s="836"/>
      <c r="AJ27" s="616">
        <f>SUM(I27:AI27)</f>
        <v>0</v>
      </c>
      <c r="AK27" s="617"/>
      <c r="AL27" s="618"/>
    </row>
    <row r="28" spans="1:38" ht="20.100000000000001" customHeight="1" x14ac:dyDescent="0.25">
      <c r="A28" s="525" t="s">
        <v>178</v>
      </c>
      <c r="B28" s="526"/>
      <c r="C28" s="526"/>
      <c r="D28" s="526"/>
      <c r="E28" s="526"/>
      <c r="F28" s="526"/>
      <c r="G28" s="526"/>
      <c r="H28" s="526"/>
      <c r="I28" s="526"/>
      <c r="J28" s="837">
        <f>COUNTIFS('CLIENT ENROLLMENT DISCHARGE '!D15:D5000,"&gt;=07/01/2010",'CLIENT ENROLLMENT DISCHARGE '!D15:D5000,"&lt;=06/30/2020",'CLIENT ENROLLMENT DISCHARGE '!F15:F5000,"&gt;=45",'CLIENT ENROLLMENT DISCHARGE '!F15:F5000,"&lt;=64")</f>
        <v>0</v>
      </c>
      <c r="K28" s="838"/>
      <c r="L28" s="616">
        <f>COUNTIFS('CLIENT ENROLLMENT DISCHARGE '!D15:D5000,"&gt;=07/01/2020",'CLIENT ENROLLMENT DISCHARGE '!D15:D5000,"&lt;=07/31/2020",'CLIENT ENROLLMENT DISCHARGE '!F15:F5000,"&gt;=45",'CLIENT ENROLLMENT DISCHARGE '!F15:F5000,"&lt;=64")</f>
        <v>0</v>
      </c>
      <c r="M28" s="618"/>
      <c r="N28" s="616">
        <f>COUNTIFS('CLIENT ENROLLMENT DISCHARGE '!D15:D5000,"&gt;=08/01/2020",'CLIENT ENROLLMENT DISCHARGE '!D15:D5000,"&lt;=08/31/2020",'CLIENT ENROLLMENT DISCHARGE '!F15:F5000,"&gt;=45",'CLIENT ENROLLMENT DISCHARGE '!F15:F5000,"&lt;=64")</f>
        <v>0</v>
      </c>
      <c r="O28" s="618"/>
      <c r="P28" s="616">
        <f>COUNTIFS('CLIENT ENROLLMENT DISCHARGE '!D15:D5000,"&gt;=09/01/2020",'CLIENT ENROLLMENT DISCHARGE '!D15:D5000,"&lt;=09/30/2020",'CLIENT ENROLLMENT DISCHARGE '!F15:F5000,"&gt;=45",'CLIENT ENROLLMENT DISCHARGE '!F15:F5000,"&lt;=64")</f>
        <v>0</v>
      </c>
      <c r="Q28" s="618"/>
      <c r="R28" s="616">
        <f>COUNTIFS('CLIENT ENROLLMENT DISCHARGE '!D15:D5000,"&gt;=10/01/2020",'CLIENT ENROLLMENT DISCHARGE '!D15:D5000,"&lt;=10/31/2020",'CLIENT ENROLLMENT DISCHARGE '!F15:F5000,"&gt;=45",'CLIENT ENROLLMENT DISCHARGE '!F15:F5000,"&lt;=64")</f>
        <v>0</v>
      </c>
      <c r="S28" s="618"/>
      <c r="T28" s="616">
        <f>COUNTIFS('CLIENT ENROLLMENT DISCHARGE '!D15:D5000,"&gt;=11/01/2020",'CLIENT ENROLLMENT DISCHARGE '!D15:D5000,"&lt;=11/30/2020",'CLIENT ENROLLMENT DISCHARGE '!F15:F5000,"&gt;=45",'CLIENT ENROLLMENT DISCHARGE '!F15:F5000,"&lt;=64")</f>
        <v>0</v>
      </c>
      <c r="U28" s="618"/>
      <c r="V28" s="616">
        <f>COUNTIFS('CLIENT ENROLLMENT DISCHARGE '!D15:D5000,"&gt;=12/01/2020",'CLIENT ENROLLMENT DISCHARGE '!D15:D5000,"&lt;=12/31/2020",'CLIENT ENROLLMENT DISCHARGE '!F15:F5000,"&gt;=45",'CLIENT ENROLLMENT DISCHARGE '!F15:F5000,"&lt;=64")</f>
        <v>0</v>
      </c>
      <c r="W28" s="618"/>
      <c r="X28" s="836">
        <f>COUNTIFS('CLIENT ENROLLMENT DISCHARGE '!D15:D5000,"&gt;=01/01/2021",'CLIENT ENROLLMENT DISCHARGE '!D15:D5000,"&lt;=01/31/2021",'CLIENT ENROLLMENT DISCHARGE '!F15:F5000,"&gt;=45",'CLIENT ENROLLMENT DISCHARGE '!F15:F5000,"&lt;=64")</f>
        <v>0</v>
      </c>
      <c r="Y28" s="836"/>
      <c r="Z28" s="836">
        <f>COUNTIFS('CLIENT ENROLLMENT DISCHARGE '!D15:D5000,"&gt;=02/01/2021",'CLIENT ENROLLMENT DISCHARGE '!D15:D5000,"&lt;=02/28/2021",'CLIENT ENROLLMENT DISCHARGE '!F15:F5000,"&gt;=45",'CLIENT ENROLLMENT DISCHARGE '!F15:F5000,"&lt;=64")</f>
        <v>0</v>
      </c>
      <c r="AA28" s="836"/>
      <c r="AB28" s="836">
        <f>COUNTIFS('CLIENT ENROLLMENT DISCHARGE '!D15:D5000,"&gt;=03/01/2021",'CLIENT ENROLLMENT DISCHARGE '!D15:D5000,"&lt;=03/31/2021",'CLIENT ENROLLMENT DISCHARGE '!F15:F5000,"&gt;=45",'CLIENT ENROLLMENT DISCHARGE '!F15:F5000,"&lt;=64")</f>
        <v>0</v>
      </c>
      <c r="AC28" s="836"/>
      <c r="AD28" s="836">
        <f>COUNTIFS('CLIENT ENROLLMENT DISCHARGE '!D15:D5000,"&gt;=04/01/2021",'CLIENT ENROLLMENT DISCHARGE '!D15:D5000,"&lt;=04/30/2021",'CLIENT ENROLLMENT DISCHARGE '!F15:F5000,"&gt;=45",'CLIENT ENROLLMENT DISCHARGE '!F15:F5000,"&lt;=64")</f>
        <v>0</v>
      </c>
      <c r="AE28" s="836"/>
      <c r="AF28" s="836">
        <f>COUNTIFS('CLIENT ENROLLMENT DISCHARGE '!D15:D5000,"&gt;=05/01/2021",'CLIENT ENROLLMENT DISCHARGE '!D15:D5000,"&lt;=05/31/2021",'CLIENT ENROLLMENT DISCHARGE '!F15:F5000,"&gt;=45",'CLIENT ENROLLMENT DISCHARGE '!F15:F5000,"&lt;=64")</f>
        <v>0</v>
      </c>
      <c r="AG28" s="836"/>
      <c r="AH28" s="836">
        <f>COUNTIFS('CLIENT ENROLLMENT DISCHARGE '!D15:D5000,"&gt;=06/01/2021",'CLIENT ENROLLMENT DISCHARGE '!D15:D5000,"&lt;=06/30/2021",'CLIENT ENROLLMENT DISCHARGE '!F15:F5000,"&gt;=45",'CLIENT ENROLLMENT DISCHARGE '!F15:F5000,"&lt;=64")</f>
        <v>0</v>
      </c>
      <c r="AI28" s="836"/>
      <c r="AJ28" s="616">
        <f>SUM(I28:AI28)</f>
        <v>0</v>
      </c>
      <c r="AK28" s="617"/>
      <c r="AL28" s="618"/>
    </row>
    <row r="29" spans="1:38" ht="20.100000000000001" customHeight="1" x14ac:dyDescent="0.25">
      <c r="A29" s="525" t="s">
        <v>179</v>
      </c>
      <c r="B29" s="526"/>
      <c r="C29" s="526"/>
      <c r="D29" s="526"/>
      <c r="E29" s="526"/>
      <c r="F29" s="526"/>
      <c r="G29" s="526"/>
      <c r="H29" s="526"/>
      <c r="I29" s="526"/>
      <c r="J29" s="837">
        <f>COUNTIFS('CLIENT ENROLLMENT DISCHARGE '!D15:D5000,"&gt;=07/01/2010",'CLIENT ENROLLMENT DISCHARGE '!D15:D5000,"&lt;=06/30/2020",'CLIENT ENROLLMENT DISCHARGE '!F15:F5000,"&gt;=65",'CLIENT ENROLLMENT DISCHARGE '!F15:F5000,"&lt;=74")</f>
        <v>0</v>
      </c>
      <c r="K29" s="838"/>
      <c r="L29" s="616">
        <f>COUNTIFS('CLIENT ENROLLMENT DISCHARGE '!D15:D5000,"&gt;=07/01/2020",'CLIENT ENROLLMENT DISCHARGE '!D15:D5000,"&lt;=07/31/2020",'CLIENT ENROLLMENT DISCHARGE '!F15:F5000,"&gt;=65",'CLIENT ENROLLMENT DISCHARGE '!F15:F5000,"&lt;=74")</f>
        <v>0</v>
      </c>
      <c r="M29" s="618"/>
      <c r="N29" s="616">
        <f>COUNTIFS('CLIENT ENROLLMENT DISCHARGE '!D15:D5000,"&gt;=08/01/2020",'CLIENT ENROLLMENT DISCHARGE '!D15:D5000,"&lt;=08/31/2020",'CLIENT ENROLLMENT DISCHARGE '!F15:F5000,"&gt;=65",'CLIENT ENROLLMENT DISCHARGE '!F15:F5000,"&lt;=74")</f>
        <v>0</v>
      </c>
      <c r="O29" s="618"/>
      <c r="P29" s="616">
        <f>COUNTIFS('CLIENT ENROLLMENT DISCHARGE '!D15:D5000,"&gt;=09/01/2020",'CLIENT ENROLLMENT DISCHARGE '!D15:D5000,"&lt;=09/30/2020",'CLIENT ENROLLMENT DISCHARGE '!F15:F5000,"&gt;=65",'CLIENT ENROLLMENT DISCHARGE '!F15:F5000,"&lt;=74")</f>
        <v>0</v>
      </c>
      <c r="Q29" s="618"/>
      <c r="R29" s="616">
        <f>COUNTIFS('CLIENT ENROLLMENT DISCHARGE '!D15:D5000,"&gt;=10/01/2020",'CLIENT ENROLLMENT DISCHARGE '!D15:D5000,"&lt;=10/31/2020",'CLIENT ENROLLMENT DISCHARGE '!F15:F5000,"&gt;=65",'CLIENT ENROLLMENT DISCHARGE '!F15:F5000,"&lt;=74")</f>
        <v>0</v>
      </c>
      <c r="S29" s="618"/>
      <c r="T29" s="616">
        <f>COUNTIFS('CLIENT ENROLLMENT DISCHARGE '!D15:D5000,"&gt;=11/01/2020",'CLIENT ENROLLMENT DISCHARGE '!D15:D5000,"&lt;=11/30/2020",'CLIENT ENROLLMENT DISCHARGE '!F15:F5000,"&gt;=65",'CLIENT ENROLLMENT DISCHARGE '!F15:F5000,"&lt;=74")</f>
        <v>0</v>
      </c>
      <c r="U29" s="618"/>
      <c r="V29" s="616">
        <f>COUNTIFS('CLIENT ENROLLMENT DISCHARGE '!D15:D5000,"&gt;=12/01/2020",'CLIENT ENROLLMENT DISCHARGE '!D15:D5000,"&lt;=12/31/2020",'CLIENT ENROLLMENT DISCHARGE '!F15:F5000,"&gt;=65",'CLIENT ENROLLMENT DISCHARGE '!F15:F5000,"&lt;=74")</f>
        <v>0</v>
      </c>
      <c r="W29" s="618"/>
      <c r="X29" s="836">
        <f>COUNTIFS('CLIENT ENROLLMENT DISCHARGE '!D15:D5000,"&gt;=01/01/2021",'CLIENT ENROLLMENT DISCHARGE '!D15:D5000,"&lt;=01/31/2021",'CLIENT ENROLLMENT DISCHARGE '!F15:F5000,"&gt;=65",'CLIENT ENROLLMENT DISCHARGE '!F15:F5000,"&lt;=74")</f>
        <v>0</v>
      </c>
      <c r="Y29" s="836"/>
      <c r="Z29" s="836">
        <f>COUNTIFS('CLIENT ENROLLMENT DISCHARGE '!D15:D5000,"&gt;=02/01/2021",'CLIENT ENROLLMENT DISCHARGE '!D15:D5000,"&lt;=02/28/2021",'CLIENT ENROLLMENT DISCHARGE '!F15:F5000,"&gt;=65",'CLIENT ENROLLMENT DISCHARGE '!F15:F5000,"&lt;=74")</f>
        <v>0</v>
      </c>
      <c r="AA29" s="836"/>
      <c r="AB29" s="836">
        <f>COUNTIFS('CLIENT ENROLLMENT DISCHARGE '!D15:D5000,"&gt;=03/01/2021",'CLIENT ENROLLMENT DISCHARGE '!D15:D5000,"&lt;=03/31/2021",'CLIENT ENROLLMENT DISCHARGE '!F15:F5000,"&gt;=65",'CLIENT ENROLLMENT DISCHARGE '!F15:F5000,"&lt;=74")</f>
        <v>0</v>
      </c>
      <c r="AC29" s="836"/>
      <c r="AD29" s="836">
        <f>COUNTIFS('CLIENT ENROLLMENT DISCHARGE '!D15:D5000,"&gt;=04/01/2021",'CLIENT ENROLLMENT DISCHARGE '!D15:D5000,"&lt;=04/30/2021",'CLIENT ENROLLMENT DISCHARGE '!F15:F5000,"&gt;=65",'CLIENT ENROLLMENT DISCHARGE '!F15:F5000,"&lt;=74")</f>
        <v>0</v>
      </c>
      <c r="AE29" s="836"/>
      <c r="AF29" s="836">
        <f>COUNTIFS('CLIENT ENROLLMENT DISCHARGE '!D15:D5000,"&gt;=05/01/2021",'CLIENT ENROLLMENT DISCHARGE '!D15:D5000,"&lt;=05/31/2021",'CLIENT ENROLLMENT DISCHARGE '!F15:F5000,"&gt;=65",'CLIENT ENROLLMENT DISCHARGE '!F15:F5000,"&lt;=74")</f>
        <v>0</v>
      </c>
      <c r="AG29" s="836"/>
      <c r="AH29" s="836">
        <f>COUNTIFS('CLIENT ENROLLMENT DISCHARGE '!D15:D5000,"&gt;=06/01/2021",'CLIENT ENROLLMENT DISCHARGE '!D15:D5000,"&lt;=06/30/2021",'CLIENT ENROLLMENT DISCHARGE '!F15:F5000,"&gt;=65",'CLIENT ENROLLMENT DISCHARGE '!F15:F5000,"&lt;=74")</f>
        <v>0</v>
      </c>
      <c r="AI29" s="836"/>
      <c r="AJ29" s="616">
        <f>SUM(I29:AI29)</f>
        <v>0</v>
      </c>
      <c r="AK29" s="617"/>
      <c r="AL29" s="618"/>
    </row>
    <row r="30" spans="1:38" ht="20.100000000000001" customHeight="1" x14ac:dyDescent="0.25">
      <c r="A30" s="525" t="s">
        <v>180</v>
      </c>
      <c r="B30" s="526"/>
      <c r="C30" s="526"/>
      <c r="D30" s="526"/>
      <c r="E30" s="526"/>
      <c r="F30" s="526"/>
      <c r="G30" s="526"/>
      <c r="H30" s="526"/>
      <c r="I30" s="526"/>
      <c r="J30" s="837">
        <f>COUNTIFS('CLIENT ENROLLMENT DISCHARGE '!D15:D5000,"&gt;=07/01/2010",'CLIENT ENROLLMENT DISCHARGE '!D15:D5000,"&lt;=06/30/2020",'CLIENT ENROLLMENT DISCHARGE '!F15:F5000,"&gt;=75",'CLIENT ENROLLMENT DISCHARGE '!F15:F5000,"&lt;=150")</f>
        <v>0</v>
      </c>
      <c r="K30" s="838"/>
      <c r="L30" s="616">
        <f>COUNTIFS('CLIENT ENROLLMENT DISCHARGE '!D15:D5000,"&gt;=07/01/2020",'CLIENT ENROLLMENT DISCHARGE '!D15:D5000,"&lt;=07/31/2020",'CLIENT ENROLLMENT DISCHARGE '!F15:F5000,"&gt;=75",'CLIENT ENROLLMENT DISCHARGE '!F15:F5000,"&lt;=150")</f>
        <v>0</v>
      </c>
      <c r="M30" s="618"/>
      <c r="N30" s="616">
        <f>COUNTIFS('CLIENT ENROLLMENT DISCHARGE '!D15:D5000,"&gt;=08/01/2020",'CLIENT ENROLLMENT DISCHARGE '!D15:D5000,"&lt;=08/31/2020",'CLIENT ENROLLMENT DISCHARGE '!F15:F5000,"&gt;=75",'CLIENT ENROLLMENT DISCHARGE '!F15:F5000,"&lt;=150")</f>
        <v>0</v>
      </c>
      <c r="O30" s="618"/>
      <c r="P30" s="616">
        <f>COUNTIFS('CLIENT ENROLLMENT DISCHARGE '!D15:D5000,"&gt;=09/01/2020",'CLIENT ENROLLMENT DISCHARGE '!D15:D5000,"&lt;=09/30/2020",'CLIENT ENROLLMENT DISCHARGE '!F15:F5000,"&gt;=75",'CLIENT ENROLLMENT DISCHARGE '!F15:F5000,"&lt;=150")</f>
        <v>0</v>
      </c>
      <c r="Q30" s="618"/>
      <c r="R30" s="616">
        <f>COUNTIFS('CLIENT ENROLLMENT DISCHARGE '!D15:D5000,"&gt;=10/01/2020",'CLIENT ENROLLMENT DISCHARGE '!D15:D5000,"&lt;=10/31/2020",'CLIENT ENROLLMENT DISCHARGE '!F15:F5000,"&gt;=75",'CLIENT ENROLLMENT DISCHARGE '!F15:F5000,"&lt;=150")</f>
        <v>0</v>
      </c>
      <c r="S30" s="618"/>
      <c r="T30" s="616">
        <f>COUNTIFS('CLIENT ENROLLMENT DISCHARGE '!D15:D5000,"&gt;=11/01/2020",'CLIENT ENROLLMENT DISCHARGE '!D15:D5000,"&lt;=11/30/2020",'CLIENT ENROLLMENT DISCHARGE '!F15:F5000,"&gt;=75",'CLIENT ENROLLMENT DISCHARGE '!F15:F5000,"&lt;=150")</f>
        <v>0</v>
      </c>
      <c r="U30" s="618"/>
      <c r="V30" s="616">
        <f>COUNTIFS('CLIENT ENROLLMENT DISCHARGE '!D15:D5000,"&gt;=12/01/2020",'CLIENT ENROLLMENT DISCHARGE '!D15:D5000,"&lt;=12/31/2020",'CLIENT ENROLLMENT DISCHARGE '!F15:F5000,"&gt;=75",'CLIENT ENROLLMENT DISCHARGE '!F15:F5000,"&lt;=150")</f>
        <v>0</v>
      </c>
      <c r="W30" s="618"/>
      <c r="X30" s="836">
        <f>COUNTIFS('CLIENT ENROLLMENT DISCHARGE '!D15:D5000,"&gt;=01/01/2021",'CLIENT ENROLLMENT DISCHARGE '!D15:D5000,"&lt;=01/31/2021",'CLIENT ENROLLMENT DISCHARGE '!F15:F5000,"&gt;=75",'CLIENT ENROLLMENT DISCHARGE '!F15:F5000,"&lt;=150")</f>
        <v>0</v>
      </c>
      <c r="Y30" s="836"/>
      <c r="Z30" s="836">
        <f>COUNTIFS('CLIENT ENROLLMENT DISCHARGE '!D15:D5000,"&gt;=02/01/2021",'CLIENT ENROLLMENT DISCHARGE '!D15:D5000,"&lt;=02/28/2021",'CLIENT ENROLLMENT DISCHARGE '!F15:F5000,"&gt;=75",'CLIENT ENROLLMENT DISCHARGE '!F15:F5000,"&lt;=150")</f>
        <v>0</v>
      </c>
      <c r="AA30" s="836"/>
      <c r="AB30" s="836">
        <f>COUNTIFS('CLIENT ENROLLMENT DISCHARGE '!D15:D5000,"&gt;=03/01/2021",'CLIENT ENROLLMENT DISCHARGE '!D15:D5000,"&lt;=03/31/2021",'CLIENT ENROLLMENT DISCHARGE '!F15:F5000,"&gt;=75",'CLIENT ENROLLMENT DISCHARGE '!F15:F5000,"&lt;=150")</f>
        <v>0</v>
      </c>
      <c r="AC30" s="836"/>
      <c r="AD30" s="836">
        <f>COUNTIFS('CLIENT ENROLLMENT DISCHARGE '!D15:D5000,"&gt;=04/01/2021",'CLIENT ENROLLMENT DISCHARGE '!D15:D5000,"&lt;=04/30/2021",'CLIENT ENROLLMENT DISCHARGE '!F15:F5000,"&gt;=75",'CLIENT ENROLLMENT DISCHARGE '!F15:F5000,"&lt;=150")</f>
        <v>0</v>
      </c>
      <c r="AE30" s="836"/>
      <c r="AF30" s="836">
        <f>COUNTIFS('CLIENT ENROLLMENT DISCHARGE '!D15:D5000,"&gt;=05/01/2021",'CLIENT ENROLLMENT DISCHARGE '!D15:D5000,"&lt;=05/31/2021",'CLIENT ENROLLMENT DISCHARGE '!F15:F5000,"&gt;=75",'CLIENT ENROLLMENT DISCHARGE '!F15:F5000,"&lt;=150")</f>
        <v>0</v>
      </c>
      <c r="AG30" s="836"/>
      <c r="AH30" s="836">
        <f>COUNTIFS('CLIENT ENROLLMENT DISCHARGE '!D15:D5000,"&gt;=06/01/2021",'CLIENT ENROLLMENT DISCHARGE '!D15:D5000,"&lt;=06/30/2021",'CLIENT ENROLLMENT DISCHARGE '!F15:F5000,"&gt;=75",'CLIENT ENROLLMENT DISCHARGE '!F15:F5000,"&lt;=150")</f>
        <v>0</v>
      </c>
      <c r="AI30" s="836"/>
      <c r="AJ30" s="616">
        <f t="shared" ref="AJ30" si="0">SUM(J30:AI30)</f>
        <v>0</v>
      </c>
      <c r="AK30" s="617"/>
      <c r="AL30" s="618"/>
    </row>
    <row r="31" spans="1:38" ht="30" customHeight="1" x14ac:dyDescent="0.25">
      <c r="A31" s="619" t="s">
        <v>181</v>
      </c>
      <c r="B31" s="620"/>
      <c r="C31" s="620"/>
      <c r="D31" s="620"/>
      <c r="E31" s="620"/>
      <c r="F31" s="620"/>
      <c r="G31" s="620"/>
      <c r="H31" s="620"/>
      <c r="I31" s="620"/>
      <c r="J31" s="834">
        <f>SUM(J25:J30)</f>
        <v>0</v>
      </c>
      <c r="K31" s="835"/>
      <c r="L31" s="830" t="e">
        <f>SUM(L25:L30)</f>
        <v>#VALUE!</v>
      </c>
      <c r="M31" s="831"/>
      <c r="N31" s="830">
        <f>SUM(N25:N30)</f>
        <v>0</v>
      </c>
      <c r="O31" s="831"/>
      <c r="P31" s="830">
        <f>SUM(P25:P30)</f>
        <v>0</v>
      </c>
      <c r="Q31" s="831"/>
      <c r="R31" s="830">
        <f>SUM(R25:R30)</f>
        <v>0</v>
      </c>
      <c r="S31" s="831"/>
      <c r="T31" s="830">
        <f>SUM(T25:T30)</f>
        <v>0</v>
      </c>
      <c r="U31" s="831"/>
      <c r="V31" s="830">
        <f>SUM(V25:V30)</f>
        <v>0</v>
      </c>
      <c r="W31" s="831"/>
      <c r="X31" s="830">
        <f>SUM(X25:X30)</f>
        <v>0</v>
      </c>
      <c r="Y31" s="831"/>
      <c r="Z31" s="830">
        <f>SUM(Z25:Z30)</f>
        <v>0</v>
      </c>
      <c r="AA31" s="831"/>
      <c r="AB31" s="830">
        <f>SUM(AB25:AB30)</f>
        <v>0</v>
      </c>
      <c r="AC31" s="831"/>
      <c r="AD31" s="830">
        <f>SUM(AD25:AD30)</f>
        <v>0</v>
      </c>
      <c r="AE31" s="831"/>
      <c r="AF31" s="830">
        <f>SUM(AF25:AF30)</f>
        <v>0</v>
      </c>
      <c r="AG31" s="831"/>
      <c r="AH31" s="830">
        <f>SUM(AH25:AH30)</f>
        <v>0</v>
      </c>
      <c r="AI31" s="831"/>
      <c r="AJ31" s="611" t="e">
        <f>SUM(AJ25:AJ30)</f>
        <v>#VALUE!</v>
      </c>
      <c r="AK31" s="612"/>
      <c r="AL31" s="613"/>
    </row>
    <row r="32" spans="1:38" ht="30" customHeight="1" x14ac:dyDescent="0.25">
      <c r="A32" s="614" t="s">
        <v>113</v>
      </c>
      <c r="B32" s="615"/>
      <c r="C32" s="615"/>
      <c r="D32" s="615"/>
      <c r="E32" s="615"/>
      <c r="F32" s="615"/>
      <c r="G32" s="615"/>
      <c r="H32" s="615"/>
      <c r="I32" s="615"/>
      <c r="J32" s="832" t="s">
        <v>152</v>
      </c>
      <c r="K32" s="833"/>
      <c r="L32" s="610" t="s">
        <v>153</v>
      </c>
      <c r="M32" s="610"/>
      <c r="N32" s="610" t="s">
        <v>154</v>
      </c>
      <c r="O32" s="610"/>
      <c r="P32" s="610" t="s">
        <v>155</v>
      </c>
      <c r="Q32" s="610"/>
      <c r="R32" s="610" t="s">
        <v>156</v>
      </c>
      <c r="S32" s="610"/>
      <c r="T32" s="610" t="s">
        <v>157</v>
      </c>
      <c r="U32" s="610"/>
      <c r="V32" s="610" t="s">
        <v>158</v>
      </c>
      <c r="W32" s="610"/>
      <c r="X32" s="610" t="s">
        <v>159</v>
      </c>
      <c r="Y32" s="610"/>
      <c r="Z32" s="610" t="s">
        <v>160</v>
      </c>
      <c r="AA32" s="610"/>
      <c r="AB32" s="610" t="s">
        <v>161</v>
      </c>
      <c r="AC32" s="610"/>
      <c r="AD32" s="610" t="s">
        <v>162</v>
      </c>
      <c r="AE32" s="610"/>
      <c r="AF32" s="610" t="s">
        <v>163</v>
      </c>
      <c r="AG32" s="610"/>
      <c r="AH32" s="610" t="s">
        <v>164</v>
      </c>
      <c r="AI32" s="610"/>
      <c r="AJ32" s="610" t="s">
        <v>165</v>
      </c>
      <c r="AK32" s="610"/>
      <c r="AL32" s="610"/>
    </row>
    <row r="33" spans="1:38" ht="20.100000000000001" customHeight="1" x14ac:dyDescent="0.25">
      <c r="A33" s="507" t="s">
        <v>128</v>
      </c>
      <c r="B33" s="508"/>
      <c r="C33" s="508"/>
      <c r="D33" s="508"/>
      <c r="E33" s="508"/>
      <c r="F33" s="508"/>
      <c r="G33" s="508"/>
      <c r="H33" s="508"/>
      <c r="I33" s="508"/>
      <c r="J33" s="828">
        <f>COUNTIFS('CLIENT ENROLLMENT DISCHARGE '!D15:D5000,"&gt;=07/01/2000",'CLIENT ENROLLMENT DISCHARGE '!D15:D5000,"&lt;=06/30/2020",'CLIENT ENROLLMENT DISCHARGE '!G15:G5000,"Male")</f>
        <v>0</v>
      </c>
      <c r="K33" s="829"/>
      <c r="L33" s="715">
        <f>COUNTIFS('CLIENT ENROLLMENT DISCHARGE '!G15:G5000,"Male")</f>
        <v>0</v>
      </c>
      <c r="M33" s="715"/>
      <c r="N33" s="715">
        <f>COUNTIFS('CLIENT ENROLLMENT DISCHARGE '!D15:D5000,"&gt;=08/01/2020",'CLIENT ENROLLMENT DISCHARGE '!D15:D5000,"&lt;=08/31/2020",'CLIENT ENROLLMENT DISCHARGE '!G15:G5000,"Male")</f>
        <v>0</v>
      </c>
      <c r="O33" s="715"/>
      <c r="P33" s="715">
        <f>COUNTIFS('CLIENT ENROLLMENT DISCHARGE '!D15:D5000,"&gt;=10/01/2020",'CLIENT ENROLLMENT DISCHARGE '!D15:D5000,"&lt;=10/31/2020",'CLIENT ENROLLMENT DISCHARGE '!G15:G5000,"Male")</f>
        <v>0</v>
      </c>
      <c r="Q33" s="715"/>
      <c r="R33" s="715">
        <f>COUNTIFS('CLIENT ENROLLMENT DISCHARGE '!D15:D5000,"&gt;=10/01/2020",'CLIENT ENROLLMENT DISCHARGE '!D15:D5000,"&lt;=10/31/2020",'CLIENT ENROLLMENT DISCHARGE '!G15:G5000,"Male")</f>
        <v>0</v>
      </c>
      <c r="S33" s="715"/>
      <c r="T33" s="715">
        <f>COUNTIFS('CLIENT ENROLLMENT DISCHARGE '!D15:D5000,"&gt;=11/01/2020",'CLIENT ENROLLMENT DISCHARGE '!D15:D5000,"&lt;=11/30/2020",'CLIENT ENROLLMENT DISCHARGE '!G15:G5000,"Male")</f>
        <v>0</v>
      </c>
      <c r="U33" s="715"/>
      <c r="V33" s="715">
        <f>COUNTIFS('CLIENT ENROLLMENT DISCHARGE '!D15:D5000,"&gt;=12/01/2020",'CLIENT ENROLLMENT DISCHARGE '!D15:D5000,"&lt;=12/31/2020",'CLIENT ENROLLMENT DISCHARGE '!G15:G5000,"Male")</f>
        <v>0</v>
      </c>
      <c r="W33" s="715"/>
      <c r="X33" s="715">
        <f>COUNTIFS('CLIENT ENROLLMENT DISCHARGE '!D15:D5000,"&gt;=01/01/2021",'CLIENT ENROLLMENT DISCHARGE '!D15:D5000,"&lt;=01/31/2021",'CLIENT ENROLLMENT DISCHARGE '!G15:G5000,"Male")</f>
        <v>0</v>
      </c>
      <c r="Y33" s="715"/>
      <c r="Z33" s="715">
        <f>COUNTIFS('CLIENT ENROLLMENT DISCHARGE '!D15:D5000,"&gt;=02/01/2021",'CLIENT ENROLLMENT DISCHARGE '!D15:D5000,"&lt;=02/28/2021",'CLIENT ENROLLMENT DISCHARGE '!G15:G5000,"Male")</f>
        <v>0</v>
      </c>
      <c r="AA33" s="715"/>
      <c r="AB33" s="715">
        <f>COUNTIFS('CLIENT ENROLLMENT DISCHARGE '!D15:D5000,"&gt;=03/01/2021",'CLIENT ENROLLMENT DISCHARGE '!D15:D5000,"&lt;=03/31/2021",'CLIENT ENROLLMENT DISCHARGE '!G15:G5000,"Male")</f>
        <v>0</v>
      </c>
      <c r="AC33" s="715"/>
      <c r="AD33" s="715">
        <f>COUNTIFS('CLIENT ENROLLMENT DISCHARGE '!D15:D5000,"&gt;=04/01/2021",'CLIENT ENROLLMENT DISCHARGE '!D15:D5000,"&lt;=04/30/2021",'CLIENT ENROLLMENT DISCHARGE '!G15:G5000,"Male")</f>
        <v>0</v>
      </c>
      <c r="AE33" s="715"/>
      <c r="AF33" s="715">
        <f>COUNTIFS('CLIENT ENROLLMENT DISCHARGE '!D15:D5000,"&gt;=05/01/2021",'CLIENT ENROLLMENT DISCHARGE '!D15:D5000,"&lt;=05/31/2021",'CLIENT ENROLLMENT DISCHARGE '!G15:G5000,"Male")</f>
        <v>0</v>
      </c>
      <c r="AG33" s="715"/>
      <c r="AH33" s="715">
        <f>COUNTIFS('CLIENT ENROLLMENT DISCHARGE '!D15:D5000,"&gt;=06/01/2021",'CLIENT ENROLLMENT DISCHARGE '!D15:D5000,"&lt;=06/30/2021",'CLIENT ENROLLMENT DISCHARGE '!G15:G5000,"Male")</f>
        <v>0</v>
      </c>
      <c r="AI33" s="715"/>
      <c r="AJ33" s="529">
        <f>SUM(J33:AH33)</f>
        <v>0</v>
      </c>
      <c r="AK33" s="607"/>
      <c r="AL33" s="530"/>
    </row>
    <row r="34" spans="1:38" ht="20.100000000000001" customHeight="1" x14ac:dyDescent="0.25">
      <c r="A34" s="507" t="s">
        <v>129</v>
      </c>
      <c r="B34" s="508"/>
      <c r="C34" s="508"/>
      <c r="D34" s="508"/>
      <c r="E34" s="508"/>
      <c r="F34" s="508"/>
      <c r="G34" s="508"/>
      <c r="H34" s="508"/>
      <c r="I34" s="508"/>
      <c r="J34" s="828">
        <f>COUNTIFS('CLIENT ENROLLMENT DISCHARGE '!D15:D5000,"&gt;=07/01/2000",'CLIENT ENROLLMENT DISCHARGE '!D15:D5000,"&lt;=06/30/2020",'CLIENT ENROLLMENT DISCHARGE '!G15:G5000,"Female")</f>
        <v>0</v>
      </c>
      <c r="K34" s="829"/>
      <c r="L34" s="715">
        <f>COUNTIFS('CLIENT ENROLLMENT DISCHARGE '!G15:G5000,"Female")</f>
        <v>0</v>
      </c>
      <c r="M34" s="715"/>
      <c r="N34" s="715">
        <f>COUNTIFS('CLIENT ENROLLMENT DISCHARGE '!D15:D5000,"&gt;=08/01/2020",'CLIENT ENROLLMENT DISCHARGE '!D15:D5000,"&lt;=08/31/2020",'CLIENT ENROLLMENT DISCHARGE '!G15:G5000,"Female")</f>
        <v>0</v>
      </c>
      <c r="O34" s="715"/>
      <c r="P34" s="715">
        <f>COUNTIFS('CLIENT ENROLLMENT DISCHARGE '!D15:D5000,"&gt;=10/01/2020",'CLIENT ENROLLMENT DISCHARGE '!D15:D5000,"&lt;=10/31/2020",'CLIENT ENROLLMENT DISCHARGE '!G15:G5000,"Female")</f>
        <v>0</v>
      </c>
      <c r="Q34" s="715"/>
      <c r="R34" s="715">
        <f>COUNTIFS('CLIENT ENROLLMENT DISCHARGE '!D15:D5000,"&gt;=10/01/2020",'CLIENT ENROLLMENT DISCHARGE '!D15:D5000,"&lt;=10/31/2020",'CLIENT ENROLLMENT DISCHARGE '!G15:G5000,"Female")</f>
        <v>0</v>
      </c>
      <c r="S34" s="715"/>
      <c r="T34" s="715">
        <f>COUNTIFS('CLIENT ENROLLMENT DISCHARGE '!D15:D5000,"&gt;=11/01/2020",'CLIENT ENROLLMENT DISCHARGE '!D15:D5000,"&lt;=11/30/2020",'CLIENT ENROLLMENT DISCHARGE '!G15:G5000,"Female")</f>
        <v>0</v>
      </c>
      <c r="U34" s="715"/>
      <c r="V34" s="715">
        <f>COUNTIFS('CLIENT ENROLLMENT DISCHARGE '!D15:D5000,"&gt;=12/01/2020",'CLIENT ENROLLMENT DISCHARGE '!D15:D5000,"&lt;=12/31/2020",'CLIENT ENROLLMENT DISCHARGE '!G15:G5000,"Female")</f>
        <v>0</v>
      </c>
      <c r="W34" s="715"/>
      <c r="X34" s="715">
        <f>COUNTIFS('CLIENT ENROLLMENT DISCHARGE '!D15:D5000,"&gt;=01/01/2021",'CLIENT ENROLLMENT DISCHARGE '!D15:D5000,"&lt;=01/31/2021",'CLIENT ENROLLMENT DISCHARGE '!G15:G5000,"Female")</f>
        <v>0</v>
      </c>
      <c r="Y34" s="715"/>
      <c r="Z34" s="715">
        <f>COUNTIFS('CLIENT ENROLLMENT DISCHARGE '!D15:D5000,"&gt;=02/01/2021",'CLIENT ENROLLMENT DISCHARGE '!D15:D5000,"&lt;=02/28/2021",'CLIENT ENROLLMENT DISCHARGE '!G15:G5000,"Female")</f>
        <v>0</v>
      </c>
      <c r="AA34" s="715"/>
      <c r="AB34" s="715">
        <f>COUNTIFS('CLIENT ENROLLMENT DISCHARGE '!D15:D5000,"&gt;=03/01/2021",'CLIENT ENROLLMENT DISCHARGE '!D15:D5000,"&lt;=03/31/2021",'CLIENT ENROLLMENT DISCHARGE '!G15:G5000,"Female")</f>
        <v>0</v>
      </c>
      <c r="AC34" s="715"/>
      <c r="AD34" s="715">
        <f>COUNTIFS('CLIENT ENROLLMENT DISCHARGE '!D15:D5000,"&gt;=04/01/2021",'CLIENT ENROLLMENT DISCHARGE '!D15:D5000,"&lt;=04/30/2021",'CLIENT ENROLLMENT DISCHARGE '!G15:G5000,"Female")</f>
        <v>0</v>
      </c>
      <c r="AE34" s="715"/>
      <c r="AF34" s="715">
        <f>COUNTIFS('CLIENT ENROLLMENT DISCHARGE '!D15:D5000,"&gt;=05/01/2021",'CLIENT ENROLLMENT DISCHARGE '!D15:D5000,"&lt;=05/31/2021",'CLIENT ENROLLMENT DISCHARGE '!G15:G5000,"Female")</f>
        <v>0</v>
      </c>
      <c r="AG34" s="715"/>
      <c r="AH34" s="715">
        <f>COUNTIFS('CLIENT ENROLLMENT DISCHARGE '!D15:D5000,"&gt;=06/01/2021",'CLIENT ENROLLMENT DISCHARGE '!D15:D5000,"&lt;=06/30/2021",'CLIENT ENROLLMENT DISCHARGE '!G15:G5000,"Female")</f>
        <v>0</v>
      </c>
      <c r="AI34" s="715"/>
      <c r="AJ34" s="529">
        <f>SUM(J34:AH34)</f>
        <v>0</v>
      </c>
      <c r="AK34" s="607"/>
      <c r="AL34" s="530"/>
    </row>
    <row r="35" spans="1:38" ht="30" customHeight="1" x14ac:dyDescent="0.3">
      <c r="A35" s="608" t="s">
        <v>182</v>
      </c>
      <c r="B35" s="609"/>
      <c r="C35" s="609"/>
      <c r="D35" s="609"/>
      <c r="E35" s="609"/>
      <c r="F35" s="609"/>
      <c r="G35" s="609"/>
      <c r="H35" s="609"/>
      <c r="I35" s="609"/>
      <c r="J35" s="826">
        <f>SUM(J33:J34)</f>
        <v>0</v>
      </c>
      <c r="K35" s="827"/>
      <c r="L35" s="822">
        <f>SUM(L33:L34)</f>
        <v>0</v>
      </c>
      <c r="M35" s="823"/>
      <c r="N35" s="822">
        <f>SUM(N33:N34)</f>
        <v>0</v>
      </c>
      <c r="O35" s="823"/>
      <c r="P35" s="822">
        <f>SUM(P33:P34)</f>
        <v>0</v>
      </c>
      <c r="Q35" s="823"/>
      <c r="R35" s="822">
        <f>SUM(R33:R34)</f>
        <v>0</v>
      </c>
      <c r="S35" s="823"/>
      <c r="T35" s="822">
        <f>SUM(T33:T34)</f>
        <v>0</v>
      </c>
      <c r="U35" s="823"/>
      <c r="V35" s="822">
        <f>SUM(V33:V34)</f>
        <v>0</v>
      </c>
      <c r="W35" s="823"/>
      <c r="X35" s="822">
        <f>SUM(X33:X34)</f>
        <v>0</v>
      </c>
      <c r="Y35" s="823"/>
      <c r="Z35" s="822">
        <f>SUM(Z33:Z34)</f>
        <v>0</v>
      </c>
      <c r="AA35" s="823"/>
      <c r="AB35" s="822">
        <f>SUM(AB33:AB34)</f>
        <v>0</v>
      </c>
      <c r="AC35" s="823"/>
      <c r="AD35" s="822">
        <f>SUM(AD33:AD34)</f>
        <v>0</v>
      </c>
      <c r="AE35" s="823"/>
      <c r="AF35" s="822">
        <f>SUM(AF33:AF34)</f>
        <v>0</v>
      </c>
      <c r="AG35" s="823"/>
      <c r="AH35" s="822">
        <f>SUM(AH33:AH34)</f>
        <v>0</v>
      </c>
      <c r="AI35" s="823"/>
      <c r="AJ35" s="602">
        <f>SUM(AJ33:AJ34)</f>
        <v>0</v>
      </c>
      <c r="AK35" s="603"/>
      <c r="AL35" s="604"/>
    </row>
    <row r="36" spans="1:38" ht="30" customHeight="1" x14ac:dyDescent="0.25">
      <c r="A36" s="605" t="s">
        <v>114</v>
      </c>
      <c r="B36" s="606"/>
      <c r="C36" s="606"/>
      <c r="D36" s="606"/>
      <c r="E36" s="606"/>
      <c r="F36" s="606"/>
      <c r="G36" s="606"/>
      <c r="H36" s="606"/>
      <c r="I36" s="606"/>
      <c r="J36" s="824" t="s">
        <v>152</v>
      </c>
      <c r="K36" s="825"/>
      <c r="L36" s="601" t="s">
        <v>153</v>
      </c>
      <c r="M36" s="601"/>
      <c r="N36" s="601" t="s">
        <v>154</v>
      </c>
      <c r="O36" s="601"/>
      <c r="P36" s="601" t="s">
        <v>155</v>
      </c>
      <c r="Q36" s="601"/>
      <c r="R36" s="601" t="s">
        <v>156</v>
      </c>
      <c r="S36" s="601"/>
      <c r="T36" s="601" t="s">
        <v>157</v>
      </c>
      <c r="U36" s="601"/>
      <c r="V36" s="601" t="s">
        <v>158</v>
      </c>
      <c r="W36" s="601"/>
      <c r="X36" s="601" t="s">
        <v>159</v>
      </c>
      <c r="Y36" s="601"/>
      <c r="Z36" s="601" t="s">
        <v>160</v>
      </c>
      <c r="AA36" s="601"/>
      <c r="AB36" s="601" t="s">
        <v>161</v>
      </c>
      <c r="AC36" s="601"/>
      <c r="AD36" s="601" t="s">
        <v>162</v>
      </c>
      <c r="AE36" s="601"/>
      <c r="AF36" s="601" t="s">
        <v>163</v>
      </c>
      <c r="AG36" s="601"/>
      <c r="AH36" s="601" t="s">
        <v>164</v>
      </c>
      <c r="AI36" s="601"/>
      <c r="AJ36" s="601" t="s">
        <v>165</v>
      </c>
      <c r="AK36" s="601"/>
      <c r="AL36" s="601"/>
    </row>
    <row r="37" spans="1:38" ht="20.100000000000001" customHeight="1" x14ac:dyDescent="0.25">
      <c r="A37" s="595" t="s">
        <v>62</v>
      </c>
      <c r="B37" s="596"/>
      <c r="C37" s="596"/>
      <c r="D37" s="596"/>
      <c r="E37" s="596"/>
      <c r="F37" s="596"/>
      <c r="G37" s="596"/>
      <c r="H37" s="596"/>
      <c r="I37" s="597"/>
      <c r="J37" s="820">
        <f>COUNTIFS('CLIENT ENROLLMENT DISCHARGE '!D15:D5000,"&gt;=07/01/2000",'CLIENT ENROLLMENT DISCHARGE '!D15:D5000,"&lt;=06/30/2020",'CLIENT ENROLLMENT DISCHARGE '!H15:H5000,"White")</f>
        <v>0</v>
      </c>
      <c r="K37" s="821"/>
      <c r="L37" s="592">
        <f>COUNTIFS('CLIENT ENROLLMENT DISCHARGE '!D15:D5000,"&gt;=07/01/2020",'CLIENT ENROLLMENT DISCHARGE '!D15:D5000,"&lt;=07/31/2020",'CLIENT ENROLLMENT DISCHARGE '!H15:H5000,"White")</f>
        <v>0</v>
      </c>
      <c r="M37" s="594"/>
      <c r="N37" s="592">
        <f>COUNTIFS('CLIENT ENROLLMENT DISCHARGE '!D15:D5000,"&gt;=08/01/2020",'CLIENT ENROLLMENT DISCHARGE '!D15:D5000,"&lt;=08/31/2020",'CLIENT ENROLLMENT DISCHARGE '!H15:H5000,"White")</f>
        <v>0</v>
      </c>
      <c r="O37" s="594"/>
      <c r="P37" s="592">
        <f>COUNTIFS('CLIENT ENROLLMENT DISCHARGE '!D15:D5000,"&gt;=09/01/2020",'CLIENT ENROLLMENT DISCHARGE '!D15:D5000,"&lt;=09/30/2020",'CLIENT ENROLLMENT DISCHARGE '!H15:H5000,"White")</f>
        <v>0</v>
      </c>
      <c r="Q37" s="594"/>
      <c r="R37" s="592">
        <f>COUNTIFS('CLIENT ENROLLMENT DISCHARGE '!D15:D5000,"&gt;=10/01/2020",'CLIENT ENROLLMENT DISCHARGE '!D15:D5000,"&lt;=10/31/2020",'CLIENT ENROLLMENT DISCHARGE '!H15:H5000,"White")</f>
        <v>0</v>
      </c>
      <c r="S37" s="594"/>
      <c r="T37" s="592">
        <f>COUNTIFS('CLIENT ENROLLMENT DISCHARGE '!D15:D5000,"&gt;=11/01/2020",'CLIENT ENROLLMENT DISCHARGE '!D15:D5000,"&lt;=11/30/2020",'CLIENT ENROLLMENT DISCHARGE '!H15:H5000,"White")</f>
        <v>0</v>
      </c>
      <c r="U37" s="594"/>
      <c r="V37" s="592">
        <f>COUNTIFS('CLIENT ENROLLMENT DISCHARGE '!D15:D5000,"&gt;=12/01/2020",'CLIENT ENROLLMENT DISCHARGE '!D15:D5000,"&lt;=12/31/2020",'CLIENT ENROLLMENT DISCHARGE '!H15:H5000,"White")</f>
        <v>0</v>
      </c>
      <c r="W37" s="594"/>
      <c r="X37" s="817">
        <f>COUNTIFS('CLIENT ENROLLMENT DISCHARGE '!D15:D5000,"&gt;=01/01/2021",'CLIENT ENROLLMENT DISCHARGE '!D15:D5000,"&lt;=01/31/2021",'CLIENT ENROLLMENT DISCHARGE '!H15:H5000,"White")</f>
        <v>0</v>
      </c>
      <c r="Y37" s="817"/>
      <c r="Z37" s="817">
        <f>COUNTIFS('CLIENT ENROLLMENT DISCHARGE '!D15:D5000,"&gt;=02/01/2021",'CLIENT ENROLLMENT DISCHARGE '!D15:D5000,"&lt;=02/28/2021",'CLIENT ENROLLMENT DISCHARGE '!H15:H5000,"White")</f>
        <v>0</v>
      </c>
      <c r="AA37" s="817"/>
      <c r="AB37" s="817">
        <f>COUNTIFS('CLIENT ENROLLMENT DISCHARGE '!D15:D5000,"&gt;=03/01/2021",'CLIENT ENROLLMENT DISCHARGE '!D15:D5000,"&lt;=03/31/2021",'CLIENT ENROLLMENT DISCHARGE '!H15:H5000,"White")</f>
        <v>0</v>
      </c>
      <c r="AC37" s="817"/>
      <c r="AD37" s="817">
        <f>COUNTIFS('CLIENT ENROLLMENT DISCHARGE '!D15:D5000,"&gt;=04/01/2021",'CLIENT ENROLLMENT DISCHARGE '!D15:D5000,"&lt;=04/30/2021",'CLIENT ENROLLMENT DISCHARGE '!H15:H5000,"White")</f>
        <v>0</v>
      </c>
      <c r="AE37" s="817"/>
      <c r="AF37" s="817">
        <f>COUNTIFS('CLIENT ENROLLMENT DISCHARGE '!D15:D5000,"&gt;=05/01/2021",'CLIENT ENROLLMENT DISCHARGE '!D15:D5000,"&lt;=05/31/2021",'CLIENT ENROLLMENT DISCHARGE '!H15:H5000,"White")</f>
        <v>0</v>
      </c>
      <c r="AG37" s="817"/>
      <c r="AH37" s="817">
        <f>COUNTIFS('CLIENT ENROLLMENT DISCHARGE '!D15:D5000,"&gt;=06/01/2021",'CLIENT ENROLLMENT DISCHARGE '!D15:D5000,"&lt;=06/30/2021",'CLIENT ENROLLMENT DISCHARGE '!H15:H5000,"White")</f>
        <v>0</v>
      </c>
      <c r="AI37" s="817"/>
      <c r="AJ37" s="592">
        <f t="shared" ref="AJ37:AJ43" si="1">SUM(J37:AH37)</f>
        <v>0</v>
      </c>
      <c r="AK37" s="593"/>
      <c r="AL37" s="594"/>
    </row>
    <row r="38" spans="1:38" ht="20.100000000000001" customHeight="1" x14ac:dyDescent="0.25">
      <c r="A38" s="595" t="s">
        <v>50</v>
      </c>
      <c r="B38" s="596"/>
      <c r="C38" s="596"/>
      <c r="D38" s="596"/>
      <c r="E38" s="596"/>
      <c r="F38" s="596"/>
      <c r="G38" s="596"/>
      <c r="H38" s="596"/>
      <c r="I38" s="597"/>
      <c r="J38" s="820">
        <f>COUNTIFS('CLIENT ENROLLMENT DISCHARGE '!D15:D5000,"&gt;=07/01/2000",'CLIENT ENROLLMENT DISCHARGE '!D15:D5000,"&lt;=06/30/2020",'CLIENT ENROLLMENT DISCHARGE '!H15:H5000,"African American/ Black")</f>
        <v>0</v>
      </c>
      <c r="K38" s="821"/>
      <c r="L38" s="592">
        <f>COUNTIFS('CLIENT ENROLLMENT DISCHARGE '!D15:D5000,"&gt;=07/01/2020",'CLIENT ENROLLMENT DISCHARGE '!D15:D5000,"&lt;=07/31/2020",'CLIENT ENROLLMENT DISCHARGE '!H15:H5000,"African American/ Black")</f>
        <v>0</v>
      </c>
      <c r="M38" s="594"/>
      <c r="N38" s="592">
        <f>COUNTIFS('CLIENT ENROLLMENT DISCHARGE '!D15:D5000,"&gt;=08/01/2020",'CLIENT ENROLLMENT DISCHARGE '!D15:D5000,"&lt;=08/31/2020",'CLIENT ENROLLMENT DISCHARGE '!H15:H5000,"African American/ Black")</f>
        <v>0</v>
      </c>
      <c r="O38" s="594"/>
      <c r="P38" s="592">
        <f>COUNTIFS('CLIENT ENROLLMENT DISCHARGE '!D15:D5000,"&gt;=09/01/2020",'CLIENT ENROLLMENT DISCHARGE '!D15:D5000,"&lt;=09/30/2020",'CLIENT ENROLLMENT DISCHARGE '!H15:H5000,"African American/ Black")</f>
        <v>0</v>
      </c>
      <c r="Q38" s="594"/>
      <c r="R38" s="592">
        <f>COUNTIFS('CLIENT ENROLLMENT DISCHARGE '!D15:D5000,"&gt;=10/01/2020",'CLIENT ENROLLMENT DISCHARGE '!D15:D5000,"&lt;=10/31/2020",'CLIENT ENROLLMENT DISCHARGE '!H15:H5000,"African American/ Black")</f>
        <v>0</v>
      </c>
      <c r="S38" s="594"/>
      <c r="T38" s="592">
        <f>COUNTIFS('CLIENT ENROLLMENT DISCHARGE '!D15:D5000,"&gt;=11/01/2020",'CLIENT ENROLLMENT DISCHARGE '!D15:D5000,"&lt;=11/30/2020",'CLIENT ENROLLMENT DISCHARGE '!H15:H5000,"African American/ Black")</f>
        <v>0</v>
      </c>
      <c r="U38" s="594"/>
      <c r="V38" s="592">
        <f>COUNTIFS('CLIENT ENROLLMENT DISCHARGE '!D15:D5000,"&gt;=12/01/2020",'CLIENT ENROLLMENT DISCHARGE '!D15:D5000,"&lt;=12/31/2020",'CLIENT ENROLLMENT DISCHARGE '!H15:H5000,"African American/ Black")</f>
        <v>0</v>
      </c>
      <c r="W38" s="594"/>
      <c r="X38" s="817">
        <f>COUNTIFS('CLIENT ENROLLMENT DISCHARGE '!D15:D5000,"&gt;=01/01/2021",'CLIENT ENROLLMENT DISCHARGE '!D15:D5000,"&lt;=01/31/2021",'CLIENT ENROLLMENT DISCHARGE '!H15:H5000,"African American/ Black")</f>
        <v>0</v>
      </c>
      <c r="Y38" s="817"/>
      <c r="Z38" s="817">
        <f>COUNTIFS('CLIENT ENROLLMENT DISCHARGE '!D15:D5000,"&gt;=02/01/2021",'CLIENT ENROLLMENT DISCHARGE '!D15:D5000,"&lt;=02/28/2021",'CLIENT ENROLLMENT DISCHARGE '!H15:H5000,"African American/ Black")</f>
        <v>0</v>
      </c>
      <c r="AA38" s="817"/>
      <c r="AB38" s="817">
        <f>COUNTIFS('CLIENT ENROLLMENT DISCHARGE '!D15:D5000,"&gt;=03/01/2021",'CLIENT ENROLLMENT DISCHARGE '!D15:D5000,"&lt;=03/31/2021",'CLIENT ENROLLMENT DISCHARGE '!H15:H5000,"African American/ Black")</f>
        <v>0</v>
      </c>
      <c r="AC38" s="817"/>
      <c r="AD38" s="817">
        <f>COUNTIFS('CLIENT ENROLLMENT DISCHARGE '!D15:D5000,"&gt;=04/01/2021",'CLIENT ENROLLMENT DISCHARGE '!D15:D5000,"&lt;=04/30/2021",'CLIENT ENROLLMENT DISCHARGE '!H15:H5000,"African American/ Black")</f>
        <v>0</v>
      </c>
      <c r="AE38" s="817"/>
      <c r="AF38" s="817">
        <f>COUNTIFS('CLIENT ENROLLMENT DISCHARGE '!D15:D5000,"&gt;=05/01/2021",'CLIENT ENROLLMENT DISCHARGE '!D15:D5000,"&lt;=05/31/2021",'CLIENT ENROLLMENT DISCHARGE '!H15:H5000,"African American/ Black")</f>
        <v>0</v>
      </c>
      <c r="AG38" s="817"/>
      <c r="AH38" s="817">
        <f>COUNTIFS('CLIENT ENROLLMENT DISCHARGE '!D15:D5000,"&gt;=06/01/2021",'CLIENT ENROLLMENT DISCHARGE '!D15:D5000,"&lt;=06/30/2021",'CLIENT ENROLLMENT DISCHARGE '!H15:H5000,"African American/ Black")</f>
        <v>0</v>
      </c>
      <c r="AI38" s="817"/>
      <c r="AJ38" s="592">
        <f t="shared" si="1"/>
        <v>0</v>
      </c>
      <c r="AK38" s="593"/>
      <c r="AL38" s="594"/>
    </row>
    <row r="39" spans="1:38" ht="20.100000000000001" customHeight="1" x14ac:dyDescent="0.25">
      <c r="A39" s="595" t="s">
        <v>131</v>
      </c>
      <c r="B39" s="596"/>
      <c r="C39" s="596"/>
      <c r="D39" s="596"/>
      <c r="E39" s="596"/>
      <c r="F39" s="596"/>
      <c r="G39" s="596"/>
      <c r="H39" s="596"/>
      <c r="I39" s="597"/>
      <c r="J39" s="820">
        <f>COUNTIFS('CLIENT ENROLLMENT DISCHARGE '!D15:D5000,"&gt;=07/01/2000",'CLIENT ENROLLMENT DISCHARGE '!D15:D5000,"&lt;=06/30/2020",'CLIENT ENROLLMENT DISCHARGE '!H15:H5000,"More than one race reported")</f>
        <v>0</v>
      </c>
      <c r="K39" s="821"/>
      <c r="L39" s="592">
        <f>COUNTIFS('CLIENT ENROLLMENT DISCHARGE '!D15:D5000,"&gt;=07/01/2020",'CLIENT ENROLLMENT DISCHARGE '!D15:D5000,"&lt;=07/31/2020",'CLIENT ENROLLMENT DISCHARGE '!H15:H5000,"More than one race reported")</f>
        <v>0</v>
      </c>
      <c r="M39" s="594"/>
      <c r="N39" s="592">
        <f>COUNTIFS('CLIENT ENROLLMENT DISCHARGE '!D15:D5000,"&gt;=08/01/2020",'CLIENT ENROLLMENT DISCHARGE '!D15:D5000,"&lt;=08/31/2020",'CLIENT ENROLLMENT DISCHARGE '!H15:H5000,"More than one race reported")</f>
        <v>0</v>
      </c>
      <c r="O39" s="594"/>
      <c r="P39" s="592">
        <f>COUNTIFS('CLIENT ENROLLMENT DISCHARGE '!D15:D5000,"&gt;=09/01/2020",'CLIENT ENROLLMENT DISCHARGE '!D15:D5000,"&lt;=09/30/2020",'CLIENT ENROLLMENT DISCHARGE '!H15:H5000,"More than one race reported")</f>
        <v>0</v>
      </c>
      <c r="Q39" s="594"/>
      <c r="R39" s="592">
        <f>COUNTIFS('CLIENT ENROLLMENT DISCHARGE '!D15:D5000,"&gt;=10/01/2020",'CLIENT ENROLLMENT DISCHARGE '!D15:D5000,"&lt;=10/31/2020",'CLIENT ENROLLMENT DISCHARGE '!H15:H5000,"More than one race reported")</f>
        <v>0</v>
      </c>
      <c r="S39" s="594"/>
      <c r="T39" s="592">
        <f>COUNTIFS('CLIENT ENROLLMENT DISCHARGE '!D15:D5000,"&gt;=11/01/2020",'CLIENT ENROLLMENT DISCHARGE '!D15:D5000,"&lt;=11/30/2020",'CLIENT ENROLLMENT DISCHARGE '!H15:H5000,"More than one race reported")</f>
        <v>0</v>
      </c>
      <c r="U39" s="594"/>
      <c r="V39" s="592">
        <f>COUNTIFS('CLIENT ENROLLMENT DISCHARGE '!D15:D5000,"&gt;=12/01/2020",'CLIENT ENROLLMENT DISCHARGE '!D15:D5000,"&lt;=12/31/2020",'CLIENT ENROLLMENT DISCHARGE '!H15:H5000,"More than one race reported")</f>
        <v>0</v>
      </c>
      <c r="W39" s="594"/>
      <c r="X39" s="817">
        <f>COUNTIFS('CLIENT ENROLLMENT DISCHARGE '!D15:D5000,"&gt;=01/01/2021",'CLIENT ENROLLMENT DISCHARGE '!D15:D5000,"&lt;=01/31/2021",'CLIENT ENROLLMENT DISCHARGE '!H15:H5000,"More than one race reported")</f>
        <v>0</v>
      </c>
      <c r="Y39" s="817"/>
      <c r="Z39" s="817">
        <f>COUNTIFS('CLIENT ENROLLMENT DISCHARGE '!D15:D5000,"&gt;=02/01/2021",'CLIENT ENROLLMENT DISCHARGE '!D15:D5000,"&lt;=02/28/2021",'CLIENT ENROLLMENT DISCHARGE '!H15:H5000,"More than one race reported")</f>
        <v>0</v>
      </c>
      <c r="AA39" s="817"/>
      <c r="AB39" s="817">
        <f>COUNTIFS('CLIENT ENROLLMENT DISCHARGE '!D15:D5000,"&gt;=03/01/2021",'CLIENT ENROLLMENT DISCHARGE '!D15:D5000,"&lt;=03/31/2021",'CLIENT ENROLLMENT DISCHARGE '!H15:H5000,"More than one race reported")</f>
        <v>0</v>
      </c>
      <c r="AC39" s="817"/>
      <c r="AD39" s="817">
        <f>COUNTIFS('CLIENT ENROLLMENT DISCHARGE '!D15:D5000,"&gt;=04/01/2021",'CLIENT ENROLLMENT DISCHARGE '!D15:D5000,"&lt;=04/30/2021",'CLIENT ENROLLMENT DISCHARGE '!H15:H5000,"More than one race reported")</f>
        <v>0</v>
      </c>
      <c r="AE39" s="817"/>
      <c r="AF39" s="817">
        <f>COUNTIFS('CLIENT ENROLLMENT DISCHARGE '!D15:D5000,"&gt;=05/01/2021",'CLIENT ENROLLMENT DISCHARGE '!D15:D5000,"&lt;=05/31/2021",'CLIENT ENROLLMENT DISCHARGE '!H15:H5000,"More than one race reported")</f>
        <v>0</v>
      </c>
      <c r="AG39" s="817"/>
      <c r="AH39" s="817">
        <f>COUNTIFS('CLIENT ENROLLMENT DISCHARGE '!D15:D5000,"&gt;=06/01/2021",'CLIENT ENROLLMENT DISCHARGE '!D15:D5000,"&lt;=06/30/2021",'CLIENT ENROLLMENT DISCHARGE '!H15:H5000,"More than one race reported")</f>
        <v>0</v>
      </c>
      <c r="AI39" s="817"/>
      <c r="AJ39" s="592">
        <f t="shared" si="1"/>
        <v>0</v>
      </c>
      <c r="AK39" s="593"/>
      <c r="AL39" s="594"/>
    </row>
    <row r="40" spans="1:38" ht="20.100000000000001" customHeight="1" x14ac:dyDescent="0.25">
      <c r="A40" s="595" t="s">
        <v>130</v>
      </c>
      <c r="B40" s="596"/>
      <c r="C40" s="596"/>
      <c r="D40" s="596"/>
      <c r="E40" s="596"/>
      <c r="F40" s="596"/>
      <c r="G40" s="596"/>
      <c r="H40" s="596"/>
      <c r="I40" s="597"/>
      <c r="J40" s="820">
        <f>COUNTIFS('CLIENT ENROLLMENT DISCHARGE '!D15:D5000,"&gt;=07/01/2000",'CLIENT ENROLLMENT DISCHARGE '!D15:D5000,"&lt;=06/30/2020",'CLIENT ENROLLMENT DISCHARGE '!H15:H5000,"American Indian / Alaska Native")</f>
        <v>0</v>
      </c>
      <c r="K40" s="821"/>
      <c r="L40" s="592">
        <f>COUNTIFS('CLIENT ENROLLMENT DISCHARGE '!D15:D5000,"&gt;=07/01/2020",'CLIENT ENROLLMENT DISCHARGE '!D15:D5000,"&lt;=07/31/2020",'CLIENT ENROLLMENT DISCHARGE '!H15:H5000,"American Indian / Alaska Native")</f>
        <v>0</v>
      </c>
      <c r="M40" s="594"/>
      <c r="N40" s="592">
        <f>COUNTIFS('CLIENT ENROLLMENT DISCHARGE '!D15:D5000,"&gt;=08/01/2020",'CLIENT ENROLLMENT DISCHARGE '!D15:D5000,"&lt;=08/31/2020",'CLIENT ENROLLMENT DISCHARGE '!H15:H5000,"American Indian / Alaska Native")</f>
        <v>0</v>
      </c>
      <c r="O40" s="594"/>
      <c r="P40" s="592">
        <f>COUNTIFS('CLIENT ENROLLMENT DISCHARGE '!D15:D5000,"&gt;=09/01/2020",'CLIENT ENROLLMENT DISCHARGE '!D15:D5000,"&lt;=09/30/2020",'CLIENT ENROLLMENT DISCHARGE '!H15:H5000,"American Indian / Alaska Native")</f>
        <v>0</v>
      </c>
      <c r="Q40" s="594"/>
      <c r="R40" s="592">
        <f>COUNTIFS('CLIENT ENROLLMENT DISCHARGE '!D15:D5000,"&gt;=10/01/2020",'CLIENT ENROLLMENT DISCHARGE '!D15:D5000,"&lt;=10/31/2020",'CLIENT ENROLLMENT DISCHARGE '!H15:H5000,"American Indian / Alaska Native")</f>
        <v>0</v>
      </c>
      <c r="S40" s="594"/>
      <c r="T40" s="592">
        <f>COUNTIFS('CLIENT ENROLLMENT DISCHARGE '!D15:D5000,"&gt;=11/01/2020",'CLIENT ENROLLMENT DISCHARGE '!D15:D5000,"&lt;=11/30/2020",'CLIENT ENROLLMENT DISCHARGE '!H15:H5000,"American Indian / Alaska Native")</f>
        <v>0</v>
      </c>
      <c r="U40" s="594"/>
      <c r="V40" s="592">
        <f>COUNTIFS('CLIENT ENROLLMENT DISCHARGE '!D15:D5000,"&gt;=12/01/2020",'CLIENT ENROLLMENT DISCHARGE '!D15:D5000,"&lt;=12/31/2020",'CLIENT ENROLLMENT DISCHARGE '!H15:H5000,"American Indian / Alaska Native")</f>
        <v>0</v>
      </c>
      <c r="W40" s="594"/>
      <c r="X40" s="817">
        <f>COUNTIFS('CLIENT ENROLLMENT DISCHARGE '!D15:D5000,"&gt;=01/01/2021",'CLIENT ENROLLMENT DISCHARGE '!D15:D5000,"&lt;=01/31/2021",'CLIENT ENROLLMENT DISCHARGE '!H15:H5000,"American Indian / Alaska Native")</f>
        <v>0</v>
      </c>
      <c r="Y40" s="817"/>
      <c r="Z40" s="817">
        <f>COUNTIFS('CLIENT ENROLLMENT DISCHARGE '!D15:D5000,"&gt;=02/01/2021",'CLIENT ENROLLMENT DISCHARGE '!D15:D5000,"&lt;=02/28/2021",'CLIENT ENROLLMENT DISCHARGE '!H15:H5000,"American Indian / Alaska Native")</f>
        <v>0</v>
      </c>
      <c r="AA40" s="817"/>
      <c r="AB40" s="817">
        <f>COUNTIFS('CLIENT ENROLLMENT DISCHARGE '!D15:D5000,"&gt;=03/01/2021",'CLIENT ENROLLMENT DISCHARGE '!D15:D5000,"&lt;=03/31/2021",'CLIENT ENROLLMENT DISCHARGE '!H15:H5000,"American Indian / Alaska Native")</f>
        <v>0</v>
      </c>
      <c r="AC40" s="817"/>
      <c r="AD40" s="817">
        <f>COUNTIFS('CLIENT ENROLLMENT DISCHARGE '!D15:D5000,"&gt;=04/01/2021",'CLIENT ENROLLMENT DISCHARGE '!D15:D5000,"&lt;=04/30/2021",'CLIENT ENROLLMENT DISCHARGE '!H15:H5000,"American Indian / Alaska Native")</f>
        <v>0</v>
      </c>
      <c r="AE40" s="817"/>
      <c r="AF40" s="817">
        <f>COUNTIFS('CLIENT ENROLLMENT DISCHARGE '!D15:D5000,"&gt;=05/01/2021",'CLIENT ENROLLMENT DISCHARGE '!D15:D5000,"&lt;=05/31/2021",'CLIENT ENROLLMENT DISCHARGE '!H15:H5000,"American Indian / Alaska Native")</f>
        <v>0</v>
      </c>
      <c r="AG40" s="817"/>
      <c r="AH40" s="817">
        <f>COUNTIFS('CLIENT ENROLLMENT DISCHARGE '!D15:D5000,"&gt;=06/01/2021",'CLIENT ENROLLMENT DISCHARGE '!D15:D5000,"&lt;=06/30/2021",'CLIENT ENROLLMENT DISCHARGE '!H15:H5000,"American Indian / Alaska Native")</f>
        <v>0</v>
      </c>
      <c r="AI40" s="817"/>
      <c r="AJ40" s="592">
        <f t="shared" si="1"/>
        <v>0</v>
      </c>
      <c r="AK40" s="593"/>
      <c r="AL40" s="594"/>
    </row>
    <row r="41" spans="1:38" ht="20.100000000000001" customHeight="1" x14ac:dyDescent="0.25">
      <c r="A41" s="595" t="s">
        <v>58</v>
      </c>
      <c r="B41" s="596"/>
      <c r="C41" s="596"/>
      <c r="D41" s="596"/>
      <c r="E41" s="596"/>
      <c r="F41" s="596"/>
      <c r="G41" s="596"/>
      <c r="H41" s="596"/>
      <c r="I41" s="597"/>
      <c r="J41" s="820">
        <f>COUNTIFS('CLIENT ENROLLMENT DISCHARGE '!D15:D5000,"&gt;=07/01/2000",'CLIENT ENROLLMENT DISCHARGE '!D15:D5000,"&lt;=06/30/2020",'CLIENT ENROLLMENT DISCHARGE '!H15:H5000,"Asian")</f>
        <v>0</v>
      </c>
      <c r="K41" s="821"/>
      <c r="L41" s="592">
        <f>COUNTIFS('CLIENT ENROLLMENT DISCHARGE '!D15:D5000,"&gt;=07/01/2020",'CLIENT ENROLLMENT DISCHARGE '!D15:D5000,"&lt;=07/31/2020",'CLIENT ENROLLMENT DISCHARGE '!H15:H5000,"Asian")</f>
        <v>0</v>
      </c>
      <c r="M41" s="594"/>
      <c r="N41" s="592">
        <f>COUNTIFS('CLIENT ENROLLMENT DISCHARGE '!D15:D5000,"&gt;=08/01/2020",'CLIENT ENROLLMENT DISCHARGE '!D15:D5000,"&lt;=08/31/2020",'CLIENT ENROLLMENT DISCHARGE '!H15:H5000,"Asian")</f>
        <v>0</v>
      </c>
      <c r="O41" s="594"/>
      <c r="P41" s="592">
        <f>COUNTIFS('CLIENT ENROLLMENT DISCHARGE '!D15:D5000,"&gt;=09/01/2020",'CLIENT ENROLLMENT DISCHARGE '!D15:D5000,"&lt;=09/30/2020",'CLIENT ENROLLMENT DISCHARGE '!H15:H5000,"Asian")</f>
        <v>0</v>
      </c>
      <c r="Q41" s="594"/>
      <c r="R41" s="592">
        <f>COUNTIFS('CLIENT ENROLLMENT DISCHARGE '!D15:D5000,"&gt;=10/01/2020",'CLIENT ENROLLMENT DISCHARGE '!D15:D5000,"&lt;=10/31/2020",'CLIENT ENROLLMENT DISCHARGE '!H15:H5000,"Asian")</f>
        <v>0</v>
      </c>
      <c r="S41" s="594"/>
      <c r="T41" s="592">
        <f>COUNTIFS('CLIENT ENROLLMENT DISCHARGE '!D15:D5000,"&gt;=11/01/2020",'CLIENT ENROLLMENT DISCHARGE '!D15:D5000,"&lt;=11/30/2020",'CLIENT ENROLLMENT DISCHARGE '!H15:H5000,"Asian")</f>
        <v>0</v>
      </c>
      <c r="U41" s="594"/>
      <c r="V41" s="592">
        <f>COUNTIFS('CLIENT ENROLLMENT DISCHARGE '!D15:D5000,"&gt;=12/01/2020",'CLIENT ENROLLMENT DISCHARGE '!D15:D5000,"&lt;=12/31/2020",'CLIENT ENROLLMENT DISCHARGE '!H15:H5000,"Asian")</f>
        <v>0</v>
      </c>
      <c r="W41" s="594"/>
      <c r="X41" s="817">
        <f>COUNTIFS('CLIENT ENROLLMENT DISCHARGE '!D15:D5000,"&gt;=01/01/2021",'CLIENT ENROLLMENT DISCHARGE '!D15:D5000,"&lt;=01/31/2021",'CLIENT ENROLLMENT DISCHARGE '!H15:H5000,"Asian")</f>
        <v>0</v>
      </c>
      <c r="Y41" s="817"/>
      <c r="Z41" s="817">
        <f>COUNTIFS('CLIENT ENROLLMENT DISCHARGE '!D15:D5000,"&gt;=02/01/2021",'CLIENT ENROLLMENT DISCHARGE '!D15:D5000,"&lt;=02/28/2021",'CLIENT ENROLLMENT DISCHARGE '!H15:H5000,"Asian")</f>
        <v>0</v>
      </c>
      <c r="AA41" s="817"/>
      <c r="AB41" s="817">
        <f>COUNTIFS('CLIENT ENROLLMENT DISCHARGE '!D15:D5000,"&gt;=03/01/2021",'CLIENT ENROLLMENT DISCHARGE '!D15:D5000,"&lt;=03/31/2021",'CLIENT ENROLLMENT DISCHARGE '!H15:H5000,"Asian")</f>
        <v>0</v>
      </c>
      <c r="AC41" s="817"/>
      <c r="AD41" s="817">
        <f>COUNTIFS('CLIENT ENROLLMENT DISCHARGE '!D15:D5000,"&gt;=04/01/2021",'CLIENT ENROLLMENT DISCHARGE '!D15:D5000,"&lt;=04/30/2021",'CLIENT ENROLLMENT DISCHARGE '!H15:H5000,"Asian")</f>
        <v>0</v>
      </c>
      <c r="AE41" s="817"/>
      <c r="AF41" s="817">
        <f>COUNTIFS('CLIENT ENROLLMENT DISCHARGE '!D15:D5000,"&gt;=05/01/2021",'CLIENT ENROLLMENT DISCHARGE '!D15:D5000,"&lt;=05/31/2021",'CLIENT ENROLLMENT DISCHARGE '!H15:H5000,"Asian")</f>
        <v>0</v>
      </c>
      <c r="AG41" s="817"/>
      <c r="AH41" s="817">
        <f>COUNTIFS('CLIENT ENROLLMENT DISCHARGE '!D15:D5000,"&gt;=06/01/2021",'CLIENT ENROLLMENT DISCHARGE '!D15:D5000,"&lt;=06/30/2021",'CLIENT ENROLLMENT DISCHARGE '!H15:H5000,"Asian")</f>
        <v>0</v>
      </c>
      <c r="AI41" s="817"/>
      <c r="AJ41" s="592">
        <f t="shared" si="1"/>
        <v>0</v>
      </c>
      <c r="AK41" s="593"/>
      <c r="AL41" s="594"/>
    </row>
    <row r="42" spans="1:38" ht="20.100000000000001" customHeight="1" x14ac:dyDescent="0.25">
      <c r="A42" s="595" t="s">
        <v>132</v>
      </c>
      <c r="B42" s="596"/>
      <c r="C42" s="596"/>
      <c r="D42" s="596"/>
      <c r="E42" s="596"/>
      <c r="F42" s="596"/>
      <c r="G42" s="596"/>
      <c r="H42" s="596"/>
      <c r="I42" s="597"/>
      <c r="J42" s="820">
        <f>COUNTIFS('CLIENT ENROLLMENT DISCHARGE '!D15:D5000,"&gt;=07/01/2000",'CLIENT ENROLLMENT DISCHARGE '!D15:D5000,"&lt;=06/30/2020",'CLIENT ENROLLMENT DISCHARGE '!H15:H5000,"Native Hawaiian / Other Pacific Islander")</f>
        <v>0</v>
      </c>
      <c r="K42" s="821"/>
      <c r="L42" s="592">
        <f>COUNTIFS('CLIENT ENROLLMENT DISCHARGE '!D15:D5000,"&gt;=07/01/2020",'CLIENT ENROLLMENT DISCHARGE '!D15:D5000,"&lt;=07/31/2020",'CLIENT ENROLLMENT DISCHARGE '!H15:H5000,"Native Hawaiian / Other Pacific Islander")</f>
        <v>0</v>
      </c>
      <c r="M42" s="594"/>
      <c r="N42" s="592">
        <f>COUNTIFS('CLIENT ENROLLMENT DISCHARGE '!D15:D5000,"&gt;=08/01/2020",'CLIENT ENROLLMENT DISCHARGE '!D15:D5000,"&lt;=08/31/2020",'CLIENT ENROLLMENT DISCHARGE '!H15:H5000,"Native Hawaiian / Other Pacific Islander")</f>
        <v>0</v>
      </c>
      <c r="O42" s="594"/>
      <c r="P42" s="592">
        <f>COUNTIFS('CLIENT ENROLLMENT DISCHARGE '!D15:D5000,"&gt;=09/01/2020",'CLIENT ENROLLMENT DISCHARGE '!D15:D5000,"&lt;=09/30/2020",'CLIENT ENROLLMENT DISCHARGE '!H15:H5000,"Native Hawaiian / Other Pacific Islander")</f>
        <v>0</v>
      </c>
      <c r="Q42" s="594"/>
      <c r="R42" s="592">
        <f>COUNTIFS('CLIENT ENROLLMENT DISCHARGE '!D15:D5000,"&gt;=10/01/2020",'CLIENT ENROLLMENT DISCHARGE '!D15:D5000,"&lt;=10/31/2020",'CLIENT ENROLLMENT DISCHARGE '!H15:H5000,"Native Hawaiian / Other Pacific Islander")</f>
        <v>0</v>
      </c>
      <c r="S42" s="594"/>
      <c r="T42" s="592">
        <f>COUNTIFS('CLIENT ENROLLMENT DISCHARGE '!D15:D5000,"&gt;=11/01/2020",'CLIENT ENROLLMENT DISCHARGE '!D15:D5000,"&lt;=11/30/2020",'CLIENT ENROLLMENT DISCHARGE '!H15:H5000,"Native Hawaiian / Other Pacific Islander")</f>
        <v>0</v>
      </c>
      <c r="U42" s="594"/>
      <c r="V42" s="592">
        <f>COUNTIFS('CLIENT ENROLLMENT DISCHARGE '!D15:D5000,"&gt;=12/01/2020",'CLIENT ENROLLMENT DISCHARGE '!D15:D5000,"&lt;=12/31/2020",'CLIENT ENROLLMENT DISCHARGE '!H15:H5000,"Native Hawaiian / Other Pacific Islander")</f>
        <v>0</v>
      </c>
      <c r="W42" s="594"/>
      <c r="X42" s="817">
        <f>COUNTIFS('CLIENT ENROLLMENT DISCHARGE '!D15:D5000,"&gt;=01/01/2021",'CLIENT ENROLLMENT DISCHARGE '!D15:D5000,"&lt;=01/31/2021",'CLIENT ENROLLMENT DISCHARGE '!H15:H5000,"Native Hawaiian / Other Pacific Islander")</f>
        <v>0</v>
      </c>
      <c r="Y42" s="817"/>
      <c r="Z42" s="817">
        <f>COUNTIFS('CLIENT ENROLLMENT DISCHARGE '!D15:D5000,"&gt;=02/01/2021",'CLIENT ENROLLMENT DISCHARGE '!D15:D5000,"&lt;=02/28/2021",'CLIENT ENROLLMENT DISCHARGE '!H15:H5000,"Native Hawaiian / Other Pacific Islander")</f>
        <v>0</v>
      </c>
      <c r="AA42" s="817"/>
      <c r="AB42" s="817">
        <f>COUNTIFS('CLIENT ENROLLMENT DISCHARGE '!D15:D5000,"&gt;=03/01/2021",'CLIENT ENROLLMENT DISCHARGE '!D15:D5000,"&lt;=03/31/2021",'CLIENT ENROLLMENT DISCHARGE '!H15:H5000,"Native Hawaiian / Other Pacific Islander")</f>
        <v>0</v>
      </c>
      <c r="AC42" s="817"/>
      <c r="AD42" s="817">
        <f>COUNTIFS('CLIENT ENROLLMENT DISCHARGE '!D15:D5000,"&gt;=04/01/2021",'CLIENT ENROLLMENT DISCHARGE '!D15:D5000,"&lt;=04/30/2021",'CLIENT ENROLLMENT DISCHARGE '!H15:H5000,"Native Hawaiian / Other Pacific Islander")</f>
        <v>0</v>
      </c>
      <c r="AE42" s="817"/>
      <c r="AF42" s="817">
        <f>COUNTIFS('CLIENT ENROLLMENT DISCHARGE '!D15:D5000,"&gt;=05/01/2021",'CLIENT ENROLLMENT DISCHARGE '!D15:D5000,"&lt;=05/31/2021",'CLIENT ENROLLMENT DISCHARGE '!H15:H5000,"Native Hawaiian / Other Pacific Islander")</f>
        <v>0</v>
      </c>
      <c r="AG42" s="817"/>
      <c r="AH42" s="817">
        <f>COUNTIFS('CLIENT ENROLLMENT DISCHARGE '!D15:D5000,"&gt;=06/01/2021",'CLIENT ENROLLMENT DISCHARGE '!D15:D5000,"&lt;=06/30/2021",'CLIENT ENROLLMENT DISCHARGE '!H15:H5000,"Native Hawaiian / Other Pacific Islander")</f>
        <v>0</v>
      </c>
      <c r="AI42" s="817"/>
      <c r="AJ42" s="592">
        <f t="shared" si="1"/>
        <v>0</v>
      </c>
      <c r="AK42" s="593"/>
      <c r="AL42" s="594"/>
    </row>
    <row r="43" spans="1:38" ht="20.100000000000001" customHeight="1" x14ac:dyDescent="0.25">
      <c r="A43" s="595" t="s">
        <v>64</v>
      </c>
      <c r="B43" s="596"/>
      <c r="C43" s="596"/>
      <c r="D43" s="596"/>
      <c r="E43" s="596"/>
      <c r="F43" s="596"/>
      <c r="G43" s="596"/>
      <c r="H43" s="596"/>
      <c r="I43" s="597"/>
      <c r="J43" s="820">
        <f>COUNTIFS('CLIENT ENROLLMENT DISCHARGE '!D15:D5000,"&gt;=07/01/2000",'CLIENT ENROLLMENT DISCHARGE '!D15:D5000,"&lt;=06/30/2020",'CLIENT ENROLLMENT DISCHARGE '!H15:H5000,"Unknown")</f>
        <v>0</v>
      </c>
      <c r="K43" s="821"/>
      <c r="L43" s="592">
        <f>COUNTIFS('CLIENT ENROLLMENT DISCHARGE '!D15:D5000,"&gt;=07/01/2020",'CLIENT ENROLLMENT DISCHARGE '!D15:D5000,"&lt;=07/31/2020",'CLIENT ENROLLMENT DISCHARGE '!H15:H5000,"Unknown")</f>
        <v>0</v>
      </c>
      <c r="M43" s="594"/>
      <c r="N43" s="592">
        <f>COUNTIFS('CLIENT ENROLLMENT DISCHARGE '!D15:D5000,"&gt;=08/01/2020",'CLIENT ENROLLMENT DISCHARGE '!D15:D5000,"&lt;=08/31/2020",'CLIENT ENROLLMENT DISCHARGE '!H15:H5000,"Unknown")</f>
        <v>0</v>
      </c>
      <c r="O43" s="594"/>
      <c r="P43" s="592">
        <f>COUNTIFS('CLIENT ENROLLMENT DISCHARGE '!D15:D5000,"&gt;=09/01/2020",'CLIENT ENROLLMENT DISCHARGE '!D15:D5000,"&lt;=09/30/2020",'CLIENT ENROLLMENT DISCHARGE '!H15:H5000,"Unknown")</f>
        <v>0</v>
      </c>
      <c r="Q43" s="594"/>
      <c r="R43" s="592">
        <f>COUNTIFS('CLIENT ENROLLMENT DISCHARGE '!D15:D5000,"&gt;=10/01/2020",'CLIENT ENROLLMENT DISCHARGE '!D15:D5000,"&lt;=10/31/2020",'CLIENT ENROLLMENT DISCHARGE '!H15:H5000,"Unknown")</f>
        <v>0</v>
      </c>
      <c r="S43" s="594"/>
      <c r="T43" s="592">
        <f>COUNTIFS('CLIENT ENROLLMENT DISCHARGE '!D15:D5000,"&gt;=11/01/2020",'CLIENT ENROLLMENT DISCHARGE '!D15:D5000,"&lt;=11/30/2020",'CLIENT ENROLLMENT DISCHARGE '!H15:H5000,"Unknown")</f>
        <v>0</v>
      </c>
      <c r="U43" s="594"/>
      <c r="V43" s="592">
        <f>COUNTIFS('CLIENT ENROLLMENT DISCHARGE '!D15:D5000,"&gt;=12/01/2020",'CLIENT ENROLLMENT DISCHARGE '!D15:D5000,"&lt;=12/31/2020",'CLIENT ENROLLMENT DISCHARGE '!H15:H5000,"Unknown")</f>
        <v>0</v>
      </c>
      <c r="W43" s="594"/>
      <c r="X43" s="817">
        <f>COUNTIFS('CLIENT ENROLLMENT DISCHARGE '!D15:D5000,"&gt;=01/01/2021",'CLIENT ENROLLMENT DISCHARGE '!D15:D5000,"&lt;=01/31/2021",'CLIENT ENROLLMENT DISCHARGE '!H15:H5000,"Unknown")</f>
        <v>0</v>
      </c>
      <c r="Y43" s="817"/>
      <c r="Z43" s="817">
        <f>COUNTIFS('CLIENT ENROLLMENT DISCHARGE '!D15:D5000,"&gt;=02/01/2021",'CLIENT ENROLLMENT DISCHARGE '!D15:D5000,"&lt;=02/28/2021",'CLIENT ENROLLMENT DISCHARGE '!H15:H5000,"Unknown")</f>
        <v>0</v>
      </c>
      <c r="AA43" s="817"/>
      <c r="AB43" s="817">
        <f>COUNTIFS('CLIENT ENROLLMENT DISCHARGE '!D15:D5000,"&gt;=03/01/2021",'CLIENT ENROLLMENT DISCHARGE '!D15:D5000,"&lt;=03/31/2021",'CLIENT ENROLLMENT DISCHARGE '!H15:H5000,"Unknown")</f>
        <v>0</v>
      </c>
      <c r="AC43" s="817"/>
      <c r="AD43" s="817">
        <f>COUNTIFS('CLIENT ENROLLMENT DISCHARGE '!D15:D5000,"&gt;=04/01/2021",'CLIENT ENROLLMENT DISCHARGE '!D15:D5000,"&lt;=04/30/2021",'CLIENT ENROLLMENT DISCHARGE '!H15:H5000,"Unknown")</f>
        <v>0</v>
      </c>
      <c r="AE43" s="817"/>
      <c r="AF43" s="817">
        <f>COUNTIFS('CLIENT ENROLLMENT DISCHARGE '!D15:D5000,"&gt;=05/01/2021",'CLIENT ENROLLMENT DISCHARGE '!D15:D5000,"&lt;=05/31/2021",'CLIENT ENROLLMENT DISCHARGE '!H15:H5000,"Unknown")</f>
        <v>0</v>
      </c>
      <c r="AG43" s="817"/>
      <c r="AH43" s="817">
        <f>COUNTIFS('CLIENT ENROLLMENT DISCHARGE '!D15:D5000,"&gt;=06/01/2021",'CLIENT ENROLLMENT DISCHARGE '!D15:D5000,"&lt;=06/30/2021",'CLIENT ENROLLMENT DISCHARGE '!H15:H5000,"Unknown")</f>
        <v>0</v>
      </c>
      <c r="AI43" s="817"/>
      <c r="AJ43" s="592">
        <f t="shared" si="1"/>
        <v>0</v>
      </c>
      <c r="AK43" s="593"/>
      <c r="AL43" s="594"/>
    </row>
    <row r="44" spans="1:38" ht="30" customHeight="1" x14ac:dyDescent="0.25">
      <c r="A44" s="545" t="s">
        <v>183</v>
      </c>
      <c r="B44" s="546"/>
      <c r="C44" s="546"/>
      <c r="D44" s="546"/>
      <c r="E44" s="546"/>
      <c r="F44" s="546"/>
      <c r="G44" s="546"/>
      <c r="H44" s="546"/>
      <c r="I44" s="546"/>
      <c r="J44" s="818">
        <f>SUM(J37:J43)</f>
        <v>0</v>
      </c>
      <c r="K44" s="819"/>
      <c r="L44" s="755">
        <f>SUM(L37:L43)</f>
        <v>0</v>
      </c>
      <c r="M44" s="756"/>
      <c r="N44" s="755">
        <f>SUM(N37:N43)</f>
        <v>0</v>
      </c>
      <c r="O44" s="756"/>
      <c r="P44" s="755">
        <f>SUM(P37:P43)</f>
        <v>0</v>
      </c>
      <c r="Q44" s="756"/>
      <c r="R44" s="755">
        <f>SUM(R37:R43)</f>
        <v>0</v>
      </c>
      <c r="S44" s="756"/>
      <c r="T44" s="755">
        <f>SUM(T37:T43)</f>
        <v>0</v>
      </c>
      <c r="U44" s="756"/>
      <c r="V44" s="755">
        <f>SUM(V37:V43)</f>
        <v>0</v>
      </c>
      <c r="W44" s="756"/>
      <c r="X44" s="755">
        <f>SUM(X37:X43)</f>
        <v>0</v>
      </c>
      <c r="Y44" s="756"/>
      <c r="Z44" s="755">
        <f>SUM(Z37:Z43)</f>
        <v>0</v>
      </c>
      <c r="AA44" s="756"/>
      <c r="AB44" s="755">
        <f>SUM(AB37:AB43)</f>
        <v>0</v>
      </c>
      <c r="AC44" s="756"/>
      <c r="AD44" s="755">
        <f>SUM(AD37:AD43)</f>
        <v>0</v>
      </c>
      <c r="AE44" s="756"/>
      <c r="AF44" s="755">
        <f>SUM(AF37:AF43)</f>
        <v>0</v>
      </c>
      <c r="AG44" s="756"/>
      <c r="AH44" s="755">
        <f>SUM(AH37:AH43)</f>
        <v>0</v>
      </c>
      <c r="AI44" s="756"/>
      <c r="AJ44" s="589">
        <f>SUM(AJ37:AJ43)</f>
        <v>0</v>
      </c>
      <c r="AK44" s="590"/>
      <c r="AL44" s="591"/>
    </row>
    <row r="45" spans="1:38" ht="30" customHeight="1" x14ac:dyDescent="0.25">
      <c r="A45" s="587" t="s">
        <v>184</v>
      </c>
      <c r="B45" s="588"/>
      <c r="C45" s="588"/>
      <c r="D45" s="588"/>
      <c r="E45" s="588"/>
      <c r="F45" s="588"/>
      <c r="G45" s="588"/>
      <c r="H45" s="588"/>
      <c r="I45" s="588"/>
      <c r="J45" s="815" t="s">
        <v>152</v>
      </c>
      <c r="K45" s="816"/>
      <c r="L45" s="586" t="s">
        <v>153</v>
      </c>
      <c r="M45" s="586"/>
      <c r="N45" s="586" t="s">
        <v>154</v>
      </c>
      <c r="O45" s="586"/>
      <c r="P45" s="586" t="s">
        <v>155</v>
      </c>
      <c r="Q45" s="586"/>
      <c r="R45" s="586" t="s">
        <v>156</v>
      </c>
      <c r="S45" s="586"/>
      <c r="T45" s="586" t="s">
        <v>157</v>
      </c>
      <c r="U45" s="586"/>
      <c r="V45" s="586" t="s">
        <v>158</v>
      </c>
      <c r="W45" s="586"/>
      <c r="X45" s="586" t="s">
        <v>159</v>
      </c>
      <c r="Y45" s="586"/>
      <c r="Z45" s="586" t="s">
        <v>160</v>
      </c>
      <c r="AA45" s="586"/>
      <c r="AB45" s="586" t="s">
        <v>161</v>
      </c>
      <c r="AC45" s="586"/>
      <c r="AD45" s="586" t="s">
        <v>162</v>
      </c>
      <c r="AE45" s="586"/>
      <c r="AF45" s="586" t="s">
        <v>163</v>
      </c>
      <c r="AG45" s="586"/>
      <c r="AH45" s="586" t="s">
        <v>164</v>
      </c>
      <c r="AI45" s="586"/>
      <c r="AJ45" s="586" t="s">
        <v>165</v>
      </c>
      <c r="AK45" s="586"/>
      <c r="AL45" s="586"/>
    </row>
    <row r="46" spans="1:38" ht="20.100000000000001" customHeight="1" x14ac:dyDescent="0.25">
      <c r="A46" s="533" t="s">
        <v>56</v>
      </c>
      <c r="B46" s="534"/>
      <c r="C46" s="534"/>
      <c r="D46" s="534"/>
      <c r="E46" s="534"/>
      <c r="F46" s="534"/>
      <c r="G46" s="534"/>
      <c r="H46" s="534"/>
      <c r="I46" s="534"/>
      <c r="J46" s="813">
        <f>COUNTIFS('CLIENT ENROLLMENT DISCHARGE '!D15:D5000,"&gt;=07/01/2000",'CLIENT ENROLLMENT DISCHARGE '!D15:D5000,"&lt;=06/30/2020",'CLIENT ENROLLMENT DISCHARGE '!I15:I5000,"Not Hispanic or Latino")</f>
        <v>0</v>
      </c>
      <c r="K46" s="814"/>
      <c r="L46" s="583">
        <f>COUNTIFS('CLIENT ENROLLMENT DISCHARGE '!D15:D5000,"&gt;=07/01/2020",'CLIENT ENROLLMENT DISCHARGE '!D15:D5000,"&lt;=07/31/2020",'CLIENT ENROLLMENT DISCHARGE '!I15:I5000,"Not Hispanic or Latino")</f>
        <v>0</v>
      </c>
      <c r="M46" s="585"/>
      <c r="N46" s="583">
        <f>COUNTIFS('CLIENT ENROLLMENT DISCHARGE '!D15:D5000,"&gt;=08/01/2020",'CLIENT ENROLLMENT DISCHARGE '!D15:D5000,"&lt;=08/31/2020",'CLIENT ENROLLMENT DISCHARGE '!I15:I5000,"Not Hispanic or Latino")</f>
        <v>0</v>
      </c>
      <c r="O46" s="585"/>
      <c r="P46" s="583">
        <f>COUNTIFS('CLIENT ENROLLMENT DISCHARGE '!D15:D5000,"&gt;=09/01/2020",'CLIENT ENROLLMENT DISCHARGE '!D15:D5000,"&lt;=09/30/2020",'CLIENT ENROLLMENT DISCHARGE '!I15:I5000,"Not Hispanic or Latino")</f>
        <v>0</v>
      </c>
      <c r="Q46" s="585"/>
      <c r="R46" s="583">
        <f>COUNTIFS('CLIENT ENROLLMENT DISCHARGE '!D15:D5000,"&gt;=10/01/2020",'CLIENT ENROLLMENT DISCHARGE '!D15:D5000,"&lt;=10/31/2020",'CLIENT ENROLLMENT DISCHARGE '!I15:I5000,"Not Hispanic or Latino")</f>
        <v>0</v>
      </c>
      <c r="S46" s="585"/>
      <c r="T46" s="583">
        <f>COUNTIFS('CLIENT ENROLLMENT DISCHARGE '!D15:D5000,"&gt;=11/01/2020",'CLIENT ENROLLMENT DISCHARGE '!D15:D5000,"&lt;=11/30/2020",'CLIENT ENROLLMENT DISCHARGE '!I15:I5000,"Not Hispanic or Latino")</f>
        <v>0</v>
      </c>
      <c r="U46" s="585"/>
      <c r="V46" s="583">
        <f>COUNTIFS('CLIENT ENROLLMENT DISCHARGE '!D15:D5000,"&gt;=12/01/2020",'CLIENT ENROLLMENT DISCHARGE '!D15:D5000,"&lt;=12/31/2020",'CLIENT ENROLLMENT DISCHARGE '!I15:I5000,"Not Hispanic or Latino")</f>
        <v>0</v>
      </c>
      <c r="W46" s="585"/>
      <c r="X46" s="810">
        <f>COUNTIFS('CLIENT ENROLLMENT DISCHARGE '!D15:D5000,"&gt;=01/01/2021",'CLIENT ENROLLMENT DISCHARGE '!D15:D5000,"&lt;=01/31/2021",'CLIENT ENROLLMENT DISCHARGE '!I15:I5000,"Not Hispanic or Latino")</f>
        <v>0</v>
      </c>
      <c r="Y46" s="810"/>
      <c r="Z46" s="810">
        <f>COUNTIFS('CLIENT ENROLLMENT DISCHARGE '!D15:D5000,"&gt;=02/01/2021",'CLIENT ENROLLMENT DISCHARGE '!D15:D5000,"&lt;=02/28/2021",'CLIENT ENROLLMENT DISCHARGE '!I15:I5000,"Not Hispanic or Latino")</f>
        <v>0</v>
      </c>
      <c r="AA46" s="810"/>
      <c r="AB46" s="810">
        <f>COUNTIFS('CLIENT ENROLLMENT DISCHARGE '!D15:D5000,"&gt;=03/01/2021",'CLIENT ENROLLMENT DISCHARGE '!D15:D5000,"&lt;=03/31/2021",'CLIENT ENROLLMENT DISCHARGE '!I15:I5000,"Not Hispanic or Latino")</f>
        <v>0</v>
      </c>
      <c r="AC46" s="810"/>
      <c r="AD46" s="810">
        <f>COUNTIFS('CLIENT ENROLLMENT DISCHARGE '!D15:D5000,"&gt;=04/01/2021",'CLIENT ENROLLMENT DISCHARGE '!D15:D5000,"&lt;=04/30/2021",'CLIENT ENROLLMENT DISCHARGE '!I15:I5000,"Not Hispanic or Latino")</f>
        <v>0</v>
      </c>
      <c r="AE46" s="810"/>
      <c r="AF46" s="810">
        <f>COUNTIFS('CLIENT ENROLLMENT DISCHARGE '!D15:D5000,"&gt;=05/01/2021",'CLIENT ENROLLMENT DISCHARGE '!D15:D5000,"&lt;=05/31/2021",'CLIENT ENROLLMENT DISCHARGE '!I15:I5000,"Not Hispanic or Latino")</f>
        <v>0</v>
      </c>
      <c r="AG46" s="810"/>
      <c r="AH46" s="810">
        <f>COUNTIFS('CLIENT ENROLLMENT DISCHARGE '!D15:D5000,"&gt;=06/01/2021",'CLIENT ENROLLMENT DISCHARGE '!D15:D5000,"&lt;=06/30/2021",'CLIENT ENROLLMENT DISCHARGE '!I15:I5000,"Not Hispanic or Latino")</f>
        <v>0</v>
      </c>
      <c r="AI46" s="810"/>
      <c r="AJ46" s="583">
        <f>SUM(J46:AH46)</f>
        <v>0</v>
      </c>
      <c r="AK46" s="584"/>
      <c r="AL46" s="585"/>
    </row>
    <row r="47" spans="1:38" ht="20.100000000000001" customHeight="1" x14ac:dyDescent="0.25">
      <c r="A47" s="533" t="s">
        <v>185</v>
      </c>
      <c r="B47" s="534"/>
      <c r="C47" s="534"/>
      <c r="D47" s="534"/>
      <c r="E47" s="534"/>
      <c r="F47" s="534"/>
      <c r="G47" s="534"/>
      <c r="H47" s="534"/>
      <c r="I47" s="534"/>
      <c r="J47" s="813">
        <f>COUNTIFS('CLIENT ENROLLMENT DISCHARGE '!D15:D5000,"&gt;=07/01/2000",'CLIENT ENROLLMENT DISCHARGE '!D15:D5000,"&lt;=06/30/2020",'CLIENT ENROLLMENT DISCHARGE '!I15:I5000,"Hispanic/ Latino")</f>
        <v>0</v>
      </c>
      <c r="K47" s="814"/>
      <c r="L47" s="583">
        <f>COUNTIFS('CLIENT ENROLLMENT DISCHARGE '!D15:D5000,"&gt;=07/01/2020",'CLIENT ENROLLMENT DISCHARGE '!D15:D5000,"&lt;=07/31/2020",'CLIENT ENROLLMENT DISCHARGE '!I15:I5000,"Hispanic/ Latino")</f>
        <v>0</v>
      </c>
      <c r="M47" s="585"/>
      <c r="N47" s="583">
        <f>COUNTIFS('CLIENT ENROLLMENT DISCHARGE '!D15:D5000,"&gt;=08/01/2020",'CLIENT ENROLLMENT DISCHARGE '!D15:D5000,"&lt;=08/31/2020",'CLIENT ENROLLMENT DISCHARGE '!I15:I5000,"Hispanic/ Latino")</f>
        <v>0</v>
      </c>
      <c r="O47" s="585"/>
      <c r="P47" s="583">
        <f>COUNTIFS('CLIENT ENROLLMENT DISCHARGE '!D15:D5000,"&gt;=09/01/2020",'CLIENT ENROLLMENT DISCHARGE '!D15:D5000,"&lt;=09/30/2020",'CLIENT ENROLLMENT DISCHARGE '!I15:I5000,"Hispanic/ Latino")</f>
        <v>0</v>
      </c>
      <c r="Q47" s="585"/>
      <c r="R47" s="583">
        <f>COUNTIFS('CLIENT ENROLLMENT DISCHARGE '!D15:D5000,"&gt;=10/01/2020",'CLIENT ENROLLMENT DISCHARGE '!D15:D5000,"&lt;=10/31/2020",'CLIENT ENROLLMENT DISCHARGE '!I15:I5000,"Hispanic/ Latino")</f>
        <v>0</v>
      </c>
      <c r="S47" s="585"/>
      <c r="T47" s="583">
        <f>COUNTIFS('CLIENT ENROLLMENT DISCHARGE '!D15:D5000,"&gt;=11/01/2020",'CLIENT ENROLLMENT DISCHARGE '!D15:D5000,"&lt;=11/30/2020",'CLIENT ENROLLMENT DISCHARGE '!I15:I5000,"Hispanic/ Latino")</f>
        <v>0</v>
      </c>
      <c r="U47" s="585"/>
      <c r="V47" s="583">
        <f>COUNTIFS('CLIENT ENROLLMENT DISCHARGE '!D15:D5000,"&gt;=12/01/2020",'CLIENT ENROLLMENT DISCHARGE '!D15:D5000,"&lt;=12/31/2020",'CLIENT ENROLLMENT DISCHARGE '!I15:I5000,"Hispanic/ Latino")</f>
        <v>0</v>
      </c>
      <c r="W47" s="585"/>
      <c r="X47" s="810">
        <f>COUNTIFS('CLIENT ENROLLMENT DISCHARGE '!D15:D5000,"&gt;=01/01/2021",'CLIENT ENROLLMENT DISCHARGE '!D15:D5000,"&lt;=01/31/2021",'CLIENT ENROLLMENT DISCHARGE '!I15:I5000,"Hispanic/ Latino")</f>
        <v>0</v>
      </c>
      <c r="Y47" s="810"/>
      <c r="Z47" s="810">
        <f>COUNTIFS('CLIENT ENROLLMENT DISCHARGE '!D15:D5000,"&gt;=02/01/2021",'CLIENT ENROLLMENT DISCHARGE '!D15:D5000,"&lt;=02/28/2021",'CLIENT ENROLLMENT DISCHARGE '!I15:I5000,"Hispanic/ Latino")</f>
        <v>0</v>
      </c>
      <c r="AA47" s="810"/>
      <c r="AB47" s="810">
        <f>COUNTIFS('CLIENT ENROLLMENT DISCHARGE '!D15:D5000,"&gt;=03/01/2021",'CLIENT ENROLLMENT DISCHARGE '!D15:D5000,"&lt;=03/31/2021",'CLIENT ENROLLMENT DISCHARGE '!I15:I5000,"Hispanic/ Latino")</f>
        <v>0</v>
      </c>
      <c r="AC47" s="810"/>
      <c r="AD47" s="810">
        <f>COUNTIFS('CLIENT ENROLLMENT DISCHARGE '!D15:D5000,"&gt;=04/01/2021",'CLIENT ENROLLMENT DISCHARGE '!D15:D5000,"&lt;=04/30/2021",'CLIENT ENROLLMENT DISCHARGE '!I15:I5000,"Hispanic/ Latino")</f>
        <v>0</v>
      </c>
      <c r="AE47" s="810"/>
      <c r="AF47" s="810">
        <f>COUNTIFS('CLIENT ENROLLMENT DISCHARGE '!D15:D5000,"&gt;=05/01/2021",'CLIENT ENROLLMENT DISCHARGE '!D15:D5000,"&lt;=05/31/2021",'CLIENT ENROLLMENT DISCHARGE '!I15:I5000,"Hispanic/ Latino")</f>
        <v>0</v>
      </c>
      <c r="AG47" s="810"/>
      <c r="AH47" s="810">
        <f>COUNTIFS('CLIENT ENROLLMENT DISCHARGE '!D15:D5000,"&gt;=06/01/2021",'CLIENT ENROLLMENT DISCHARGE '!D15:D5000,"&lt;=06/30/2021",'CLIENT ENROLLMENT DISCHARGE '!I15:I5000,"Hispanic/ Latino")</f>
        <v>0</v>
      </c>
      <c r="AI47" s="810"/>
      <c r="AJ47" s="583">
        <f>SUM(J47:AH47)</f>
        <v>0</v>
      </c>
      <c r="AK47" s="584"/>
      <c r="AL47" s="585"/>
    </row>
    <row r="48" spans="1:38" ht="20.100000000000001" customHeight="1" x14ac:dyDescent="0.25">
      <c r="A48" s="533" t="s">
        <v>64</v>
      </c>
      <c r="B48" s="534"/>
      <c r="C48" s="534"/>
      <c r="D48" s="534"/>
      <c r="E48" s="534"/>
      <c r="F48" s="534"/>
      <c r="G48" s="534"/>
      <c r="H48" s="534"/>
      <c r="I48" s="534"/>
      <c r="J48" s="813">
        <f>COUNTIFS('CLIENT ENROLLMENT DISCHARGE '!D15:D5000,"&gt;=07/01/2000",'CLIENT ENROLLMENT DISCHARGE '!D15:D5000,"&lt;=06/30/2020",'CLIENT ENROLLMENT DISCHARGE '!I15:I5000,"Unknown ")</f>
        <v>0</v>
      </c>
      <c r="K48" s="814"/>
      <c r="L48" s="583">
        <f>COUNTIFS('CLIENT ENROLLMENT DISCHARGE '!D15:D5000,"&gt;=07/01/2020",'CLIENT ENROLLMENT DISCHARGE '!D15:D5000,"&lt;=07/31/2020",'CLIENT ENROLLMENT DISCHARGE '!I15:I5000,"Unknown ")</f>
        <v>0</v>
      </c>
      <c r="M48" s="585"/>
      <c r="N48" s="583">
        <f>COUNTIFS('CLIENT ENROLLMENT DISCHARGE '!D15:D5000,"&gt;=08/01/2020",'CLIENT ENROLLMENT DISCHARGE '!D15:D5000,"&lt;=08/31/2020",'CLIENT ENROLLMENT DISCHARGE '!I15:I5000,"Unknown ")</f>
        <v>0</v>
      </c>
      <c r="O48" s="585"/>
      <c r="P48" s="583">
        <f>COUNTIFS('CLIENT ENROLLMENT DISCHARGE '!D15:D5000,"&gt;=09/01/2020",'CLIENT ENROLLMENT DISCHARGE '!D15:D5000,"&lt;=09/30/2020",'CLIENT ENROLLMENT DISCHARGE '!I15:I5000,"Unknown ")</f>
        <v>0</v>
      </c>
      <c r="Q48" s="585"/>
      <c r="R48" s="583">
        <f>COUNTIFS('CLIENT ENROLLMENT DISCHARGE '!D15:D5000,"&gt;=10/01/2020",'CLIENT ENROLLMENT DISCHARGE '!D15:D5000,"&lt;=10/31/2020",'CLIENT ENROLLMENT DISCHARGE '!I15:I5000,"Unknown ")</f>
        <v>0</v>
      </c>
      <c r="S48" s="585"/>
      <c r="T48" s="583">
        <f>COUNTIFS('CLIENT ENROLLMENT DISCHARGE '!D15:D5000,"&gt;=11/01/2020",'CLIENT ENROLLMENT DISCHARGE '!D15:D5000,"&lt;=11/30/2020",'CLIENT ENROLLMENT DISCHARGE '!I15:I5000,"Unknown ")</f>
        <v>0</v>
      </c>
      <c r="U48" s="585"/>
      <c r="V48" s="583">
        <f>COUNTIFS('CLIENT ENROLLMENT DISCHARGE '!D15:D5000,"&gt;=12/01/2020",'CLIENT ENROLLMENT DISCHARGE '!D15:D5000,"&lt;=12/31/2020",'CLIENT ENROLLMENT DISCHARGE '!I15:I5000,"Unknown ")</f>
        <v>0</v>
      </c>
      <c r="W48" s="585"/>
      <c r="X48" s="810">
        <f>COUNTIFS('CLIENT ENROLLMENT DISCHARGE '!D15:D5000,"&gt;=01/01/2021",'CLIENT ENROLLMENT DISCHARGE '!D15:D5000,"&lt;=01/31/2021",'CLIENT ENROLLMENT DISCHARGE '!I15:I5000,"Unknown ")</f>
        <v>0</v>
      </c>
      <c r="Y48" s="810"/>
      <c r="Z48" s="810">
        <f>COUNTIFS('CLIENT ENROLLMENT DISCHARGE '!D15:D5000,"&gt;=02/01/2021",'CLIENT ENROLLMENT DISCHARGE '!D15:D5000,"&lt;=02/28/2021",'CLIENT ENROLLMENT DISCHARGE '!I15:I5000,"Unknown ")</f>
        <v>0</v>
      </c>
      <c r="AA48" s="810"/>
      <c r="AB48" s="810">
        <f>COUNTIFS('CLIENT ENROLLMENT DISCHARGE '!D15:D5000,"&gt;=03/01/2021",'CLIENT ENROLLMENT DISCHARGE '!D15:D5000,"&lt;=03/31/2021",'CLIENT ENROLLMENT DISCHARGE '!I15:I5000,"Unknown ")</f>
        <v>0</v>
      </c>
      <c r="AC48" s="810"/>
      <c r="AD48" s="810">
        <f>COUNTIFS('CLIENT ENROLLMENT DISCHARGE '!D15:D5000,"&gt;=04/01/2021",'CLIENT ENROLLMENT DISCHARGE '!D15:D5000,"&lt;=04/30/2021",'CLIENT ENROLLMENT DISCHARGE '!I15:I5000,"Unknown ")</f>
        <v>0</v>
      </c>
      <c r="AE48" s="810"/>
      <c r="AF48" s="810">
        <f>COUNTIFS('CLIENT ENROLLMENT DISCHARGE '!D15:D5000,"&gt;=05/01/2021",'CLIENT ENROLLMENT DISCHARGE '!D15:D5000,"&lt;=05/31/2021",'CLIENT ENROLLMENT DISCHARGE '!I15:I5000,"Unknown ")</f>
        <v>0</v>
      </c>
      <c r="AG48" s="810"/>
      <c r="AH48" s="810">
        <f>COUNTIFS('CLIENT ENROLLMENT DISCHARGE '!D15:D5000,"&gt;=06/01/2021",'CLIENT ENROLLMENT DISCHARGE '!D15:D5000,"&lt;=06/30/2021",'CLIENT ENROLLMENT DISCHARGE '!I15:I5000,"Unknown ")</f>
        <v>0</v>
      </c>
      <c r="AI48" s="810"/>
      <c r="AJ48" s="583">
        <f>SUM(J48:AH48)</f>
        <v>0</v>
      </c>
      <c r="AK48" s="584"/>
      <c r="AL48" s="585"/>
    </row>
    <row r="49" spans="1:40" ht="30" customHeight="1" x14ac:dyDescent="0.3">
      <c r="A49" s="581" t="s">
        <v>186</v>
      </c>
      <c r="B49" s="582"/>
      <c r="C49" s="582"/>
      <c r="D49" s="582"/>
      <c r="E49" s="582"/>
      <c r="F49" s="582"/>
      <c r="G49" s="582"/>
      <c r="H49" s="582"/>
      <c r="I49" s="582"/>
      <c r="J49" s="811">
        <f>SUM(J46:J48)</f>
        <v>0</v>
      </c>
      <c r="K49" s="812"/>
      <c r="L49" s="808">
        <f>SUM(L46:L48)</f>
        <v>0</v>
      </c>
      <c r="M49" s="809"/>
      <c r="N49" s="808">
        <f>SUM(N46:N48)</f>
        <v>0</v>
      </c>
      <c r="O49" s="809"/>
      <c r="P49" s="808">
        <f>SUM(P46:P48)</f>
        <v>0</v>
      </c>
      <c r="Q49" s="809"/>
      <c r="R49" s="808">
        <f>SUM(R46:R48)</f>
        <v>0</v>
      </c>
      <c r="S49" s="809"/>
      <c r="T49" s="808">
        <f>SUM(T46:T48)</f>
        <v>0</v>
      </c>
      <c r="U49" s="809"/>
      <c r="V49" s="808">
        <f>SUM(V46:V48)</f>
        <v>0</v>
      </c>
      <c r="W49" s="809"/>
      <c r="X49" s="808">
        <f>SUM(X46:X48)</f>
        <v>0</v>
      </c>
      <c r="Y49" s="809"/>
      <c r="Z49" s="808">
        <f>SUM(Z46:Z48)</f>
        <v>0</v>
      </c>
      <c r="AA49" s="809"/>
      <c r="AB49" s="808">
        <f>SUM(AB46:AB48)</f>
        <v>0</v>
      </c>
      <c r="AC49" s="809"/>
      <c r="AD49" s="808">
        <f>SUM(AD46:AD48)</f>
        <v>0</v>
      </c>
      <c r="AE49" s="809"/>
      <c r="AF49" s="808">
        <f>SUM(AF46:AF48)</f>
        <v>0</v>
      </c>
      <c r="AG49" s="809"/>
      <c r="AH49" s="808">
        <f>SUM(AH46:AH48)</f>
        <v>0</v>
      </c>
      <c r="AI49" s="809"/>
      <c r="AJ49" s="576">
        <f>SUM(AJ46:AJ48)</f>
        <v>0</v>
      </c>
      <c r="AK49" s="577"/>
      <c r="AL49" s="578"/>
    </row>
    <row r="50" spans="1:40" ht="30" customHeight="1" x14ac:dyDescent="0.25">
      <c r="A50" s="579" t="s">
        <v>187</v>
      </c>
      <c r="B50" s="580"/>
      <c r="C50" s="580"/>
      <c r="D50" s="580"/>
      <c r="E50" s="580"/>
      <c r="F50" s="580"/>
      <c r="G50" s="580"/>
      <c r="H50" s="580"/>
      <c r="I50" s="580"/>
      <c r="J50" s="806" t="s">
        <v>152</v>
      </c>
      <c r="K50" s="807"/>
      <c r="L50" s="805" t="s">
        <v>153</v>
      </c>
      <c r="M50" s="805"/>
      <c r="N50" s="805" t="s">
        <v>154</v>
      </c>
      <c r="O50" s="805"/>
      <c r="P50" s="805" t="s">
        <v>155</v>
      </c>
      <c r="Q50" s="805"/>
      <c r="R50" s="805" t="s">
        <v>156</v>
      </c>
      <c r="S50" s="805"/>
      <c r="T50" s="805" t="s">
        <v>157</v>
      </c>
      <c r="U50" s="805"/>
      <c r="V50" s="805" t="s">
        <v>158</v>
      </c>
      <c r="W50" s="805"/>
      <c r="X50" s="805" t="s">
        <v>159</v>
      </c>
      <c r="Y50" s="805"/>
      <c r="Z50" s="805" t="s">
        <v>160</v>
      </c>
      <c r="AA50" s="805"/>
      <c r="AB50" s="805" t="s">
        <v>161</v>
      </c>
      <c r="AC50" s="805"/>
      <c r="AD50" s="805" t="s">
        <v>162</v>
      </c>
      <c r="AE50" s="805"/>
      <c r="AF50" s="805" t="s">
        <v>163</v>
      </c>
      <c r="AG50" s="805"/>
      <c r="AH50" s="805" t="s">
        <v>164</v>
      </c>
      <c r="AI50" s="805"/>
      <c r="AJ50" s="575" t="s">
        <v>165</v>
      </c>
      <c r="AK50" s="575"/>
      <c r="AL50" s="575"/>
    </row>
    <row r="51" spans="1:40" ht="20.100000000000001" customHeight="1" x14ac:dyDescent="0.25">
      <c r="A51" s="567" t="s">
        <v>48</v>
      </c>
      <c r="B51" s="568"/>
      <c r="C51" s="568"/>
      <c r="D51" s="568"/>
      <c r="E51" s="568"/>
      <c r="F51" s="568"/>
      <c r="G51" s="568"/>
      <c r="H51" s="568"/>
      <c r="I51" s="568"/>
      <c r="J51" s="803">
        <f>COUNTIFS('CLIENT ENROLLMENT DISCHARGE '!D15:D5000,"&gt;=07/01/2000",'CLIENT ENROLLMENT DISCHARGE '!D15:D5000,"&lt;=06/30/2020",'CLIENT ENROLLMENT DISCHARGE '!J15:J5000,"DRS")</f>
        <v>0</v>
      </c>
      <c r="K51" s="804"/>
      <c r="L51" s="802" t="e">
        <f>COUNTIFS('[2]CLIENT ENROLLMENT DISCHARGE'!J15:J5000,"DRS")</f>
        <v>#VALUE!</v>
      </c>
      <c r="M51" s="802"/>
      <c r="N51" s="802">
        <f>COUNTIFS('CLIENT ENROLLMENT DISCHARGE '!D15:D5000,"&gt;=08/01/2020",'CLIENT ENROLLMENT DISCHARGE '!D15:D5000,"&lt;=08/31/2020",'CLIENT ENROLLMENT DISCHARGE '!J15:J5000,"DRS")</f>
        <v>0</v>
      </c>
      <c r="O51" s="802"/>
      <c r="P51" s="802">
        <f>COUNTIFS('CLIENT ENROLLMENT DISCHARGE '!D15:D5000,"&gt;=09/01/2020",'CLIENT ENROLLMENT DISCHARGE '!D15:D5000,"&lt;=09/30/2020",'CLIENT ENROLLMENT DISCHARGE '!J15:J5000,"DRS")</f>
        <v>0</v>
      </c>
      <c r="Q51" s="802"/>
      <c r="R51" s="802">
        <f>COUNTIFS('CLIENT ENROLLMENT DISCHARGE '!D15:D5000,"&gt;=10/01/2020",'CLIENT ENROLLMENT DISCHARGE '!D15:D5000,"&lt;=10/31/2020",'CLIENT ENROLLMENT DISCHARGE '!J15:J5000,"DRS")</f>
        <v>0</v>
      </c>
      <c r="S51" s="802"/>
      <c r="T51" s="802">
        <f>COUNTIFS('CLIENT ENROLLMENT DISCHARGE '!D15:D5000,"&gt;=11/01/2020",'CLIENT ENROLLMENT DISCHARGE '!D15:D5000,"&lt;=11/30/2020",'CLIENT ENROLLMENT DISCHARGE '!J15:J5000,"DRS")</f>
        <v>0</v>
      </c>
      <c r="U51" s="802"/>
      <c r="V51" s="802">
        <f>COUNTIFS('CLIENT ENROLLMENT DISCHARGE '!D15:D5000,"&gt;=12/01/2020",'CLIENT ENROLLMENT DISCHARGE '!D15:D5000,"&lt;=12/31/2020",'CLIENT ENROLLMENT DISCHARGE '!J15:J5000,"DRS")</f>
        <v>0</v>
      </c>
      <c r="W51" s="802"/>
      <c r="X51" s="802">
        <f>COUNTIFS('CLIENT ENROLLMENT DISCHARGE '!D15:D5000,"&gt;=01/01/2021",'CLIENT ENROLLMENT DISCHARGE '!D15:D5000,"&lt;=01/31/2021",'CLIENT ENROLLMENT DISCHARGE '!J15:J5000,"DRS")</f>
        <v>0</v>
      </c>
      <c r="Y51" s="802"/>
      <c r="Z51" s="802">
        <f>COUNTIFS('CLIENT ENROLLMENT DISCHARGE '!D15:D5000,"&gt;=02/01/2021",'CLIENT ENROLLMENT DISCHARGE '!D15:D5000,"&lt;=02/28/2021",'CLIENT ENROLLMENT DISCHARGE '!J15:J5000,"DRS")</f>
        <v>0</v>
      </c>
      <c r="AA51" s="802"/>
      <c r="AB51" s="802">
        <f>COUNTIFS('CLIENT ENROLLMENT DISCHARGE '!D15:D5000,"&gt;=03/01/2021",'CLIENT ENROLLMENT DISCHARGE '!D15:D5000,"&lt;=03/31/2021",'CLIENT ENROLLMENT DISCHARGE '!J15:J5000,"DRS")</f>
        <v>0</v>
      </c>
      <c r="AC51" s="802"/>
      <c r="AD51" s="802">
        <f>COUNTIFS('CLIENT ENROLLMENT DISCHARGE '!D15:D5000,"&gt;=04/01/2021",'CLIENT ENROLLMENT DISCHARGE '!D15:D5000,"&lt;=04/30/2021",'CLIENT ENROLLMENT DISCHARGE '!J15:J5000,"DRS")</f>
        <v>0</v>
      </c>
      <c r="AE51" s="802"/>
      <c r="AF51" s="802">
        <f>COUNTIFS('CLIENT ENROLLMENT DISCHARGE '!D15:D5000,"&gt;=05/01/2021",'CLIENT ENROLLMENT DISCHARGE '!D15:D5000,"&lt;=05/31/2021",'CLIENT ENROLLMENT DISCHARGE '!J15:J5000,"DRS")</f>
        <v>0</v>
      </c>
      <c r="AG51" s="802"/>
      <c r="AH51" s="802">
        <f>COUNTIFS('CLIENT ENROLLMENT DISCHARGE '!D15:D5000,"&gt;=06/01/2021",'CLIENT ENROLLMENT DISCHARGE '!D15:D5000,"&lt;=06/30/2021",'CLIENT ENROLLMENT DISCHARGE '!J15:J5000,"DRS")</f>
        <v>0</v>
      </c>
      <c r="AI51" s="802"/>
      <c r="AJ51" s="562" t="e">
        <f>SUM(J51:AH51)</f>
        <v>#VALUE!</v>
      </c>
      <c r="AK51" s="563"/>
      <c r="AL51" s="564"/>
    </row>
    <row r="52" spans="1:40" ht="20.100000000000001" customHeight="1" x14ac:dyDescent="0.25">
      <c r="A52" s="567" t="s">
        <v>53</v>
      </c>
      <c r="B52" s="568"/>
      <c r="C52" s="568"/>
      <c r="D52" s="568"/>
      <c r="E52" s="568"/>
      <c r="F52" s="568"/>
      <c r="G52" s="568"/>
      <c r="H52" s="568"/>
      <c r="I52" s="568"/>
      <c r="J52" s="803">
        <f>COUNTIFS('CLIENT ENROLLMENT DISCHARGE '!D15:D5000,"&gt;=07/01/2000",'CLIENT ENROLLMENT DISCHARGE '!D15:D5000,"&lt;=06/30/2020",'CLIENT ENROLLMENT DISCHARGE '!J15:J5000,"Waiver")</f>
        <v>0</v>
      </c>
      <c r="K52" s="804"/>
      <c r="L52" s="802">
        <f>COUNTIFS('CLIENT ENROLLMENT DISCHARGE '!D15:D5000,"&gt;=07/01/2020",'CLIENT ENROLLMENT DISCHARGE '!D15:D5000,"&lt;=07/31/2020",'CLIENT ENROLLMENT DISCHARGE '!J15:J5000,"Waiver")</f>
        <v>0</v>
      </c>
      <c r="M52" s="802"/>
      <c r="N52" s="802">
        <f>COUNTIFS('CLIENT ENROLLMENT DISCHARGE '!D15:D5000,"&gt;=08/01/2020",'CLIENT ENROLLMENT DISCHARGE '!D15:D5000,"&lt;=08/31/2020",'CLIENT ENROLLMENT DISCHARGE '!J15:J5000,"Waiver")</f>
        <v>0</v>
      </c>
      <c r="O52" s="802"/>
      <c r="P52" s="802">
        <f>COUNTIFS('CLIENT ENROLLMENT DISCHARGE '!D15:D5000,"&gt;=09/01/2020",'CLIENT ENROLLMENT DISCHARGE '!D15:D5000,"&lt;=09/30/2020",'CLIENT ENROLLMENT DISCHARGE '!J15:J5000,"Waiver")</f>
        <v>0</v>
      </c>
      <c r="Q52" s="802"/>
      <c r="R52" s="802">
        <f>COUNTIFS('CLIENT ENROLLMENT DISCHARGE '!D15:D5000,"&gt;=10/01/2020",'CLIENT ENROLLMENT DISCHARGE '!D15:D5000,"&lt;=10/31/2020",'CLIENT ENROLLMENT DISCHARGE '!J15:J5000,"Waiver")</f>
        <v>0</v>
      </c>
      <c r="S52" s="802"/>
      <c r="T52" s="802">
        <f>COUNTIFS('CLIENT ENROLLMENT DISCHARGE '!D15:D5000,"&gt;=11/01/2020",'CLIENT ENROLLMENT DISCHARGE '!D15:D5000,"&lt;=11/30/2020",'CLIENT ENROLLMENT DISCHARGE '!J15:J5000,"Waiver")</f>
        <v>0</v>
      </c>
      <c r="U52" s="802"/>
      <c r="V52" s="802">
        <f>COUNTIFS('CLIENT ENROLLMENT DISCHARGE '!D15:D5000,"&gt;=12/01/2020",'CLIENT ENROLLMENT DISCHARGE '!D15:D5000,"&lt;=12/31/2020",'CLIENT ENROLLMENT DISCHARGE '!J15:J5000,"Waiver")</f>
        <v>0</v>
      </c>
      <c r="W52" s="802"/>
      <c r="X52" s="802">
        <f>COUNTIFS('CLIENT ENROLLMENT DISCHARGE '!D15:D5000,"&gt;=01/01/2021",'CLIENT ENROLLMENT DISCHARGE '!D15:D5000,"&lt;=01/31/2021",'CLIENT ENROLLMENT DISCHARGE '!J15:J5000,"Waiver")</f>
        <v>0</v>
      </c>
      <c r="Y52" s="802"/>
      <c r="Z52" s="802">
        <f>COUNTIFS('CLIENT ENROLLMENT DISCHARGE '!D15:D5000,"&gt;=02/01/2021",'CLIENT ENROLLMENT DISCHARGE '!D15:D5000,"&lt;=02/28/2021",'CLIENT ENROLLMENT DISCHARGE '!J15:J5000,"Waiver")</f>
        <v>0</v>
      </c>
      <c r="AA52" s="802"/>
      <c r="AB52" s="802">
        <f>COUNTIFS('CLIENT ENROLLMENT DISCHARGE '!D15:D5000,"&gt;=03/01/2021",'CLIENT ENROLLMENT DISCHARGE '!D15:D5000,"&lt;=03/31/2021",'CLIENT ENROLLMENT DISCHARGE '!J15:J5000,"Waiver")</f>
        <v>0</v>
      </c>
      <c r="AC52" s="802"/>
      <c r="AD52" s="802">
        <f>COUNTIFS('CLIENT ENROLLMENT DISCHARGE '!D15:D5000,"&gt;=04/01/2021",'CLIENT ENROLLMENT DISCHARGE '!D15:D5000,"&lt;=04/30/2021",'CLIENT ENROLLMENT DISCHARGE '!J15:J5000,"Waiver")</f>
        <v>0</v>
      </c>
      <c r="AE52" s="802"/>
      <c r="AF52" s="802">
        <f>COUNTIFS('CLIENT ENROLLMENT DISCHARGE '!D15:D5000,"&gt;=05/01/2021",'CLIENT ENROLLMENT DISCHARGE '!D15:D5000,"&lt;=05/31/2021",'CLIENT ENROLLMENT DISCHARGE '!J15:J5000,"Waiver")</f>
        <v>0</v>
      </c>
      <c r="AG52" s="802"/>
      <c r="AH52" s="802">
        <f>COUNTIFS('CLIENT ENROLLMENT DISCHARGE '!D15:D5000,"&gt;=06/01/2021",'CLIENT ENROLLMENT DISCHARGE '!D15:D5000,"&lt;=06/30/2021",'CLIENT ENROLLMENT DISCHARGE '!J15:J5000,"Waiver")</f>
        <v>0</v>
      </c>
      <c r="AI52" s="802"/>
      <c r="AJ52" s="562">
        <f>SUM(J52:AH52)</f>
        <v>0</v>
      </c>
      <c r="AK52" s="563"/>
      <c r="AL52" s="564"/>
    </row>
    <row r="53" spans="1:40" ht="20.100000000000001" customHeight="1" x14ac:dyDescent="0.25">
      <c r="A53" s="567" t="s">
        <v>188</v>
      </c>
      <c r="B53" s="568"/>
      <c r="C53" s="568"/>
      <c r="D53" s="568"/>
      <c r="E53" s="568"/>
      <c r="F53" s="568"/>
      <c r="G53" s="568"/>
      <c r="H53" s="568"/>
      <c r="I53" s="568"/>
      <c r="J53" s="803">
        <f>COUNTIFS('CLIENT ENROLLMENT DISCHARGE '!D15:D5000,"&gt;=07/01/2000",'CLIENT ENROLLMENT DISCHARGE '!D15:D5000,"&lt;=06/30/2020",'CLIENT ENROLLMENT DISCHARGE '!J15:J5000,"Other (Specify) ")</f>
        <v>0</v>
      </c>
      <c r="K53" s="804"/>
      <c r="L53" s="802">
        <f>COUNTIFS('CLIENT ENROLLMENT DISCHARGE '!D15:D5000,"&gt;=07/01/2020",'CLIENT ENROLLMENT DISCHARGE '!D15:D5000,"&lt;=07/31/2020",'CLIENT ENROLLMENT DISCHARGE '!J15:J5000,"Other (Specify) ")</f>
        <v>0</v>
      </c>
      <c r="M53" s="802"/>
      <c r="N53" s="802">
        <f>COUNTIFS('CLIENT ENROLLMENT DISCHARGE '!D15:D5000,"&gt;=08/01/2020",'CLIENT ENROLLMENT DISCHARGE '!D15:D5000,"&lt;=08/31/2020",'CLIENT ENROLLMENT DISCHARGE '!J15:J5000,"Other (Specify) ")</f>
        <v>0</v>
      </c>
      <c r="O53" s="802"/>
      <c r="P53" s="802">
        <f>COUNTIFS('CLIENT ENROLLMENT DISCHARGE '!D15:D5000,"&gt;=09/01/2020",'CLIENT ENROLLMENT DISCHARGE '!D15:D5000,"&lt;=09/30/2020",'CLIENT ENROLLMENT DISCHARGE '!J15:J5000,"Other (Specify) ")</f>
        <v>0</v>
      </c>
      <c r="Q53" s="802"/>
      <c r="R53" s="802">
        <f>COUNTIFS('CLIENT ENROLLMENT DISCHARGE '!D15:D5000,"&gt;=10/01/2020",'CLIENT ENROLLMENT DISCHARGE '!D15:D5000,"&lt;=10/31/2020",'CLIENT ENROLLMENT DISCHARGE '!J15:J5000,"Other (Specify) ")</f>
        <v>0</v>
      </c>
      <c r="S53" s="802"/>
      <c r="T53" s="802">
        <f>COUNTIFS('CLIENT ENROLLMENT DISCHARGE '!D15:D5000,"&gt;=11/01/2020",'CLIENT ENROLLMENT DISCHARGE '!D15:D5000,"&lt;=11/30/2020",'CLIENT ENROLLMENT DISCHARGE '!J15:J5000,"Other (Specify) ")</f>
        <v>0</v>
      </c>
      <c r="U53" s="802"/>
      <c r="V53" s="802">
        <f>COUNTIFS('CLIENT ENROLLMENT DISCHARGE '!D15:D5000,"&gt;=12/01/2020",'CLIENT ENROLLMENT DISCHARGE '!D15:D5000,"&lt;=12/31/2020",'CLIENT ENROLLMENT DISCHARGE '!J15:J5000,"Other (Specify) ")</f>
        <v>0</v>
      </c>
      <c r="W53" s="802"/>
      <c r="X53" s="802">
        <f>COUNTIFS('CLIENT ENROLLMENT DISCHARGE '!D15:D5000,"&gt;=01/01/2021",'CLIENT ENROLLMENT DISCHARGE '!D15:D5000,"&lt;=01/31/2021",'CLIENT ENROLLMENT DISCHARGE '!J15:J5000,"Other (Specify) ")</f>
        <v>0</v>
      </c>
      <c r="Y53" s="802"/>
      <c r="Z53" s="802">
        <f>COUNTIFS('CLIENT ENROLLMENT DISCHARGE '!D15:D5000,"&gt;=02/01/2021",'CLIENT ENROLLMENT DISCHARGE '!D15:D5000,"&lt;=02/28/2021",'CLIENT ENROLLMENT DISCHARGE '!J15:J5000,"Other (Specify) ")</f>
        <v>0</v>
      </c>
      <c r="AA53" s="802"/>
      <c r="AB53" s="802">
        <f>COUNTIFS('CLIENT ENROLLMENT DISCHARGE '!D15:D5000,"&gt;=03/01/2021",'CLIENT ENROLLMENT DISCHARGE '!D15:D5000,"&lt;=03/31/2021",'CLIENT ENROLLMENT DISCHARGE '!J15:J5000,"Other (Specify) ")</f>
        <v>0</v>
      </c>
      <c r="AC53" s="802"/>
      <c r="AD53" s="802">
        <f>COUNTIFS('CLIENT ENROLLMENT DISCHARGE '!D15:D5000,"&gt;=04/01/2021",'CLIENT ENROLLMENT DISCHARGE '!D15:D5000,"&lt;=04/30/2021",'CLIENT ENROLLMENT DISCHARGE '!J15:J5000,"Other (Specify) ")</f>
        <v>0</v>
      </c>
      <c r="AE53" s="802"/>
      <c r="AF53" s="802">
        <f>COUNTIFS('CLIENT ENROLLMENT DISCHARGE '!D15:D5000,"&gt;=05/01/2021",'CLIENT ENROLLMENT DISCHARGE '!D15:D5000,"&lt;=05/31/2021",'CLIENT ENROLLMENT DISCHARGE '!J15:J5000,"Other (Specify) ")</f>
        <v>0</v>
      </c>
      <c r="AG53" s="802"/>
      <c r="AH53" s="802">
        <f>COUNTIFS('CLIENT ENROLLMENT DISCHARGE '!D15:D5000,"&gt;=06/01/2021",'CLIENT ENROLLMENT DISCHARGE '!D15:D5000,"&lt;=06/30/2021",'CLIENT ENROLLMENT DISCHARGE '!J15:J5000,"Other (Specify) ")</f>
        <v>0</v>
      </c>
      <c r="AI53" s="802"/>
      <c r="AJ53" s="562">
        <f>SUM(J53:AH53)</f>
        <v>0</v>
      </c>
      <c r="AK53" s="563"/>
      <c r="AL53" s="564"/>
    </row>
    <row r="54" spans="1:40" ht="30" customHeight="1" x14ac:dyDescent="0.3">
      <c r="A54" s="565" t="s">
        <v>189</v>
      </c>
      <c r="B54" s="566"/>
      <c r="C54" s="566"/>
      <c r="D54" s="566"/>
      <c r="E54" s="566"/>
      <c r="F54" s="566"/>
      <c r="G54" s="566"/>
      <c r="H54" s="566"/>
      <c r="I54" s="566"/>
      <c r="J54" s="800">
        <f>SUM(J51:J53)</f>
        <v>0</v>
      </c>
      <c r="K54" s="801"/>
      <c r="L54" s="798" t="e">
        <f>SUM(L51:L53)</f>
        <v>#VALUE!</v>
      </c>
      <c r="M54" s="799"/>
      <c r="N54" s="798">
        <f>SUM(N51:N53)</f>
        <v>0</v>
      </c>
      <c r="O54" s="799"/>
      <c r="P54" s="798">
        <f>SUM(P51:P53)</f>
        <v>0</v>
      </c>
      <c r="Q54" s="799"/>
      <c r="R54" s="798">
        <f>SUM(R51:R53)</f>
        <v>0</v>
      </c>
      <c r="S54" s="799"/>
      <c r="T54" s="798">
        <f>SUM(T51:T53)</f>
        <v>0</v>
      </c>
      <c r="U54" s="799"/>
      <c r="V54" s="798">
        <f>SUM(V51:V53)</f>
        <v>0</v>
      </c>
      <c r="W54" s="799"/>
      <c r="X54" s="798">
        <f>SUM(X51:X53)</f>
        <v>0</v>
      </c>
      <c r="Y54" s="799"/>
      <c r="Z54" s="798">
        <f>SUM(Z51:Z53)</f>
        <v>0</v>
      </c>
      <c r="AA54" s="799"/>
      <c r="AB54" s="798">
        <f>SUM(AB51:AB53)</f>
        <v>0</v>
      </c>
      <c r="AC54" s="799"/>
      <c r="AD54" s="798">
        <f>SUM(AD51:AD53)</f>
        <v>0</v>
      </c>
      <c r="AE54" s="799"/>
      <c r="AF54" s="798">
        <f>SUM(AF51:AF53)</f>
        <v>0</v>
      </c>
      <c r="AG54" s="799"/>
      <c r="AH54" s="798">
        <f>SUM(AH51:AH53)</f>
        <v>0</v>
      </c>
      <c r="AI54" s="799"/>
      <c r="AJ54" s="557" t="e">
        <f>SUM(AJ51:AJ53)</f>
        <v>#VALUE!</v>
      </c>
      <c r="AK54" s="558"/>
      <c r="AL54" s="559"/>
    </row>
    <row r="55" spans="1:40" x14ac:dyDescent="0.25">
      <c r="A55" s="518" t="s">
        <v>190</v>
      </c>
      <c r="B55" s="518"/>
      <c r="C55" s="518"/>
      <c r="D55" s="518"/>
      <c r="E55" s="518"/>
      <c r="F55" s="518"/>
      <c r="G55" s="518"/>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c r="AE55" s="518"/>
      <c r="AF55" s="518"/>
      <c r="AG55" s="518"/>
      <c r="AH55" s="518"/>
      <c r="AI55" s="518"/>
      <c r="AJ55" s="518"/>
      <c r="AK55" s="518"/>
      <c r="AL55" s="518"/>
    </row>
    <row r="56" spans="1:40" ht="39.950000000000003" customHeight="1" x14ac:dyDescent="0.25">
      <c r="A56" s="796" t="s">
        <v>191</v>
      </c>
      <c r="B56" s="797"/>
      <c r="C56" s="797"/>
      <c r="D56" s="797"/>
      <c r="E56" s="797"/>
      <c r="F56" s="797"/>
      <c r="G56" s="797"/>
      <c r="H56" s="797"/>
      <c r="I56" s="797"/>
      <c r="J56" s="658"/>
      <c r="K56" s="659"/>
      <c r="L56" s="795" t="s">
        <v>153</v>
      </c>
      <c r="M56" s="795"/>
      <c r="N56" s="795" t="s">
        <v>154</v>
      </c>
      <c r="O56" s="795"/>
      <c r="P56" s="795" t="s">
        <v>155</v>
      </c>
      <c r="Q56" s="795"/>
      <c r="R56" s="795" t="s">
        <v>156</v>
      </c>
      <c r="S56" s="795"/>
      <c r="T56" s="795" t="s">
        <v>157</v>
      </c>
      <c r="U56" s="795"/>
      <c r="V56" s="795" t="s">
        <v>158</v>
      </c>
      <c r="W56" s="795"/>
      <c r="X56" s="795" t="s">
        <v>159</v>
      </c>
      <c r="Y56" s="795"/>
      <c r="Z56" s="795" t="s">
        <v>160</v>
      </c>
      <c r="AA56" s="795"/>
      <c r="AB56" s="795" t="s">
        <v>161</v>
      </c>
      <c r="AC56" s="795"/>
      <c r="AD56" s="795" t="s">
        <v>162</v>
      </c>
      <c r="AE56" s="795"/>
      <c r="AF56" s="795" t="s">
        <v>163</v>
      </c>
      <c r="AG56" s="795"/>
      <c r="AH56" s="795" t="s">
        <v>164</v>
      </c>
      <c r="AI56" s="795"/>
      <c r="AJ56" s="877" t="s">
        <v>165</v>
      </c>
      <c r="AK56" s="878"/>
      <c r="AL56" s="878"/>
      <c r="AM56" s="878"/>
    </row>
    <row r="57" spans="1:40" ht="50.1" customHeight="1" x14ac:dyDescent="0.25">
      <c r="A57" s="571" t="s">
        <v>213</v>
      </c>
      <c r="B57" s="572"/>
      <c r="C57" s="572"/>
      <c r="D57" s="572"/>
      <c r="E57" s="572"/>
      <c r="F57" s="572"/>
      <c r="G57" s="572"/>
      <c r="H57" s="572"/>
      <c r="I57" s="572"/>
      <c r="J57" s="516"/>
      <c r="K57" s="517"/>
      <c r="L57" s="792">
        <f>COUNTIFS('CLIENT ENROLLMENT DISCHARGE '!D15:D5000,"&gt;=07/01/2000",'CLIENT ENROLLMENT DISCHARGE '!D15:D5000,"&lt;=07/31/2020",JULY!E16:E5001,"YES")</f>
        <v>0</v>
      </c>
      <c r="M57" s="794"/>
      <c r="N57" s="792">
        <f>COUNTIFS('CLIENT ENROLLMENT DISCHARGE '!D15:D5000,"&gt;=08/01/2020",'CLIENT ENROLLMENT DISCHARGE '!D15:D5000,"&lt;=08/31/2020",AUG!E15:E5000,"YES")</f>
        <v>0</v>
      </c>
      <c r="O57" s="794"/>
      <c r="P57" s="792">
        <f>COUNTIFS('CLIENT ENROLLMENT DISCHARGE '!D15:D5000,"&gt;=09/01/2020",'CLIENT ENROLLMENT DISCHARGE '!D15:D5000,"&lt;=09/30/2020",SEPT!E15:E5000,"YES")</f>
        <v>0</v>
      </c>
      <c r="Q57" s="794"/>
      <c r="R57" s="792">
        <f>COUNTIFS('CLIENT ENROLLMENT DISCHARGE '!D15:D5000,"&gt;=10/01/2020",'CLIENT ENROLLMENT DISCHARGE '!D15:D5000,"&lt;=10/31/2020",OCT!E15:E5000,"YES")</f>
        <v>0</v>
      </c>
      <c r="S57" s="794"/>
      <c r="T57" s="792">
        <f>COUNTIFS('CLIENT ENROLLMENT DISCHARGE '!D15:D5000,"&gt;=11/01/2020",'CLIENT ENROLLMENT DISCHARGE '!D15:D5000,"&lt;=11/30/2020",NOV!E15:E5000,"YES")</f>
        <v>0</v>
      </c>
      <c r="U57" s="794"/>
      <c r="V57" s="792" t="e">
        <f>COUNTIFS('CLIENT ENROLLMENT DISCHARGE '!D15:D5000,"&gt;=12/01/2020",'CLIENT ENROLLMENT DISCHARGE '!D15:D5000,"&lt;=12/31/2020",DEC!E15:E4999,"YES")</f>
        <v>#VALUE!</v>
      </c>
      <c r="W57" s="794"/>
      <c r="X57" s="791">
        <f>COUNTIFS('CLIENT ENROLLMENT DISCHARGE '!D15:D5000,"&gt;=01/01/2021",'CLIENT ENROLLMENT DISCHARGE '!D15:D5000,"&lt;=01/31/2021",JAN!E15:E5000,"YES")</f>
        <v>0</v>
      </c>
      <c r="Y57" s="791"/>
      <c r="Z57" s="791">
        <f>COUNTIFS('CLIENT ENROLLMENT DISCHARGE '!D15:D5000,"&gt;=02/01/2021",'CLIENT ENROLLMENT DISCHARGE '!D15:D5000,"&lt;=02/28/2021",FEB!E15:E5000,"YES")</f>
        <v>0</v>
      </c>
      <c r="AA57" s="791"/>
      <c r="AB57" s="791">
        <f>COUNTIFS('CLIENT ENROLLMENT DISCHARGE '!D15:D5000,"&gt;=03/01/2021",'CLIENT ENROLLMENT DISCHARGE '!D15:D5000,"&lt;=03/31/2021",MAR!E15:E5000,"YES")</f>
        <v>0</v>
      </c>
      <c r="AC57" s="791"/>
      <c r="AD57" s="791">
        <f>COUNTIFS('CLIENT ENROLLMENT DISCHARGE '!D15:D5000,"&gt;=04/01/2021",'CLIENT ENROLLMENT DISCHARGE '!D15:D5000,"&lt;=04/30/2021",APR!E15:E5000,"YES")</f>
        <v>0</v>
      </c>
      <c r="AE57" s="791"/>
      <c r="AF57" s="791">
        <f>COUNTIFS('CLIENT ENROLLMENT DISCHARGE '!D15:D5000,"&gt;=05/01/2021",'CLIENT ENROLLMENT DISCHARGE '!D15:D5000,"&lt;=05/31/2021",MAY!E15:E5000,"YES")</f>
        <v>0</v>
      </c>
      <c r="AG57" s="791"/>
      <c r="AH57" s="791">
        <f>COUNTIFS('CLIENT ENROLLMENT DISCHARGE '!D15:D5000,"&gt;=06/01/2021",'CLIENT ENROLLMENT DISCHARGE '!D15:D5000,"&lt;=06/30/2021",JUNE!E15:E5000,"YES")</f>
        <v>0</v>
      </c>
      <c r="AI57" s="791"/>
      <c r="AJ57" s="792" t="e">
        <f>SUM(J57:AH57)</f>
        <v>#VALUE!</v>
      </c>
      <c r="AK57" s="793"/>
      <c r="AL57" s="794"/>
      <c r="AM57" s="886" t="e">
        <f>AJ57+AJ58</f>
        <v>#VALUE!</v>
      </c>
    </row>
    <row r="58" spans="1:40" ht="50.1" customHeight="1" x14ac:dyDescent="0.25">
      <c r="A58" s="571" t="s">
        <v>214</v>
      </c>
      <c r="B58" s="572"/>
      <c r="C58" s="572"/>
      <c r="D58" s="572"/>
      <c r="E58" s="572"/>
      <c r="F58" s="572"/>
      <c r="G58" s="572"/>
      <c r="H58" s="572"/>
      <c r="I58" s="572"/>
      <c r="J58" s="516"/>
      <c r="K58" s="517"/>
      <c r="L58" s="792">
        <f>COUNTIFS('CLIENT ENROLLMENT DISCHARGE '!D15:D5000,"&gt;=07/01/2000",'CLIENT ENROLLMENT DISCHARGE '!D15:D5000,"&lt;=07/31/2020",JULY!E16:E5001,"NO")</f>
        <v>0</v>
      </c>
      <c r="M58" s="794"/>
      <c r="N58" s="792">
        <f>COUNTIFS('CLIENT ENROLLMENT DISCHARGE '!D15:D5000,"&gt;=08/01/2020",'CLIENT ENROLLMENT DISCHARGE '!D15:D5000,"&lt;=08/31/2020",AUG!E15:E5000,"NO")</f>
        <v>0</v>
      </c>
      <c r="O58" s="794"/>
      <c r="P58" s="792">
        <f>COUNTIFS('CLIENT ENROLLMENT DISCHARGE '!D15:D5000,"&gt;=09/01/2020",'CLIENT ENROLLMENT DISCHARGE '!D15:D5000,"&lt;=09/30/2020",SEPT!E15:E5000,"NO")</f>
        <v>0</v>
      </c>
      <c r="Q58" s="794"/>
      <c r="R58" s="792">
        <f>COUNTIFS('CLIENT ENROLLMENT DISCHARGE '!D15:D5000,"&gt;=10/01/2020",'CLIENT ENROLLMENT DISCHARGE '!D15:D5000,"&lt;=10/31/2020",OCT!E15:E5000,"NO")</f>
        <v>0</v>
      </c>
      <c r="S58" s="794"/>
      <c r="T58" s="792">
        <f>COUNTIFS('CLIENT ENROLLMENT DISCHARGE '!D15:D5000,"&gt;=11/01/2020",'CLIENT ENROLLMENT DISCHARGE '!D15:D5000,"&lt;=11/30/2020",NOV!E15:E5000,"NO")</f>
        <v>0</v>
      </c>
      <c r="U58" s="794"/>
      <c r="V58" s="792" t="e">
        <f>COUNTIFS('CLIENT ENROLLMENT DISCHARGE '!D15:D5000,"&gt;=12/01/2020",'CLIENT ENROLLMENT DISCHARGE '!D15:D5000,"&lt;=12/31/2020",DEC!E15:E4999,"NO")</f>
        <v>#VALUE!</v>
      </c>
      <c r="W58" s="794"/>
      <c r="X58" s="792">
        <f>COUNTIFS('CLIENT ENROLLMENT DISCHARGE '!D15:D5000,"&gt;=01/01/2021",'CLIENT ENROLLMENT DISCHARGE '!D15:D5000,"&lt;=01/31/2021",JAN!E15:E5000,"NO")</f>
        <v>0</v>
      </c>
      <c r="Y58" s="794"/>
      <c r="Z58" s="792">
        <f>COUNTIFS('CLIENT ENROLLMENT DISCHARGE '!D15:D5000,"&gt;=02/01/2021",'CLIENT ENROLLMENT DISCHARGE '!D15:D5000,"&lt;=02/28/2021",FEB!E15:E5000,"NO")</f>
        <v>0</v>
      </c>
      <c r="AA58" s="794"/>
      <c r="AB58" s="792">
        <f>COUNTIFS('CLIENT ENROLLMENT DISCHARGE '!D15:D5000,"&gt;=03/01/2021",'CLIENT ENROLLMENT DISCHARGE '!D15:D5000,"&lt;=03/31/2021",MAR!E15:E5000,"NO")</f>
        <v>0</v>
      </c>
      <c r="AC58" s="794"/>
      <c r="AD58" s="792">
        <f>COUNTIFS('CLIENT ENROLLMENT DISCHARGE '!D15:D5000,"&gt;=04/01/2021",'CLIENT ENROLLMENT DISCHARGE '!D15:D5000,"&lt;=04/30/2021",APR!E15:E5000,"NO")</f>
        <v>0</v>
      </c>
      <c r="AE58" s="794"/>
      <c r="AF58" s="792">
        <f>COUNTIFS('CLIENT ENROLLMENT DISCHARGE '!D15:D5000,"&gt;=05/01/2021",'CLIENT ENROLLMENT DISCHARGE '!D15:D5000,"&lt;=05/31/2021",MAY!E15:E5000,"NO")</f>
        <v>0</v>
      </c>
      <c r="AG58" s="794"/>
      <c r="AH58" s="792">
        <f>COUNTIFS('CLIENT ENROLLMENT DISCHARGE '!D15:D5000,"&gt;=06/01/2021",'CLIENT ENROLLMENT DISCHARGE '!D15:D5000,"&lt;=06/30/2021",JUNE!E15:E5000,"NO")</f>
        <v>0</v>
      </c>
      <c r="AI58" s="794"/>
      <c r="AJ58" s="792" t="e">
        <f>SUM(J58:AH58)</f>
        <v>#VALUE!</v>
      </c>
      <c r="AK58" s="793"/>
      <c r="AL58" s="794"/>
      <c r="AM58" s="887"/>
    </row>
    <row r="59" spans="1:40" ht="39.950000000000003" customHeight="1" x14ac:dyDescent="0.25">
      <c r="A59" s="525" t="s">
        <v>215</v>
      </c>
      <c r="B59" s="526"/>
      <c r="C59" s="526"/>
      <c r="D59" s="526"/>
      <c r="E59" s="526"/>
      <c r="F59" s="526"/>
      <c r="G59" s="526"/>
      <c r="H59" s="526"/>
      <c r="I59" s="526"/>
      <c r="J59" s="516"/>
      <c r="K59" s="517"/>
      <c r="L59" s="786">
        <f>COUNTIFS('CLIENT ENROLLMENT DISCHARGE '!D15:D5000,"&gt;=07/01/2000",'CLIENT ENROLLMENT DISCHARGE '!D15:D5000,"&lt;=07/31/2020",JULY!F16:F5001,"YES")</f>
        <v>0</v>
      </c>
      <c r="M59" s="788"/>
      <c r="N59" s="786">
        <f>COUNTIFS('CLIENT ENROLLMENT DISCHARGE '!D15:D5000,"&gt;=08/01/2020",'CLIENT ENROLLMENT DISCHARGE '!D15:D5000,"&lt;=08/31/2020",AUG!F15:F5000,"YES")</f>
        <v>0</v>
      </c>
      <c r="O59" s="788"/>
      <c r="P59" s="786">
        <f>COUNTIFS('CLIENT ENROLLMENT DISCHARGE '!D15:D5000,"&gt;=09/01/2020",'CLIENT ENROLLMENT DISCHARGE '!D15:D5000,"&lt;=09/30/2020",SEPT!F15:F5000,"YES")</f>
        <v>0</v>
      </c>
      <c r="Q59" s="788"/>
      <c r="R59" s="786">
        <f>COUNTIFS('CLIENT ENROLLMENT DISCHARGE '!D15:D5000,"&gt;=10/01/2020",'CLIENT ENROLLMENT DISCHARGE '!D15:D5000,"&lt;=10/31/2020",OCT!F15:F5000,"YES")</f>
        <v>0</v>
      </c>
      <c r="S59" s="788"/>
      <c r="T59" s="786">
        <f>COUNTIFS('CLIENT ENROLLMENT DISCHARGE '!D15:D5000,"&gt;=11/01/2020",'CLIENT ENROLLMENT DISCHARGE '!D15:D5000,"&lt;=11/30/2020",NOV!F15:F5000,"YES")</f>
        <v>0</v>
      </c>
      <c r="U59" s="788"/>
      <c r="V59" s="786" t="e">
        <f>COUNTIFS('CLIENT ENROLLMENT DISCHARGE '!D15:D5000,"&gt;=12/01/2020",'CLIENT ENROLLMENT DISCHARGE '!D15:D5000,"&lt;=12/31/2020",DEC!F15:F4999,"YES")</f>
        <v>#VALUE!</v>
      </c>
      <c r="W59" s="788"/>
      <c r="X59" s="785">
        <f>COUNTIFS('CLIENT ENROLLMENT DISCHARGE '!D15:D5000,"&gt;=01/01/2021",'CLIENT ENROLLMENT DISCHARGE '!D15:D5000,"&lt;=01/31/2021",JAN!F15:F5000,"YES")</f>
        <v>0</v>
      </c>
      <c r="Y59" s="785"/>
      <c r="Z59" s="785">
        <f>COUNTIFS('CLIENT ENROLLMENT DISCHARGE '!D15:D5000,"&gt;=02/01/2021",'CLIENT ENROLLMENT DISCHARGE '!D15:D5000,"&lt;=02/28/2021",FEB!F15:F5000,"YES")</f>
        <v>0</v>
      </c>
      <c r="AA59" s="785"/>
      <c r="AB59" s="785">
        <f>COUNTIFS('CLIENT ENROLLMENT DISCHARGE '!D15:D5000,"&gt;=03/01/2021",'CLIENT ENROLLMENT DISCHARGE '!D15:D5000,"&lt;=03/31/2021",MAR!F15:F5000,"YES")</f>
        <v>0</v>
      </c>
      <c r="AC59" s="785"/>
      <c r="AD59" s="785">
        <f>COUNTIFS('CLIENT ENROLLMENT DISCHARGE '!D15:D5000,"&gt;=04/01/2021",'CLIENT ENROLLMENT DISCHARGE '!D15:D5000,"&lt;=04/30/2021",APR!F15:F5000,"YES")</f>
        <v>0</v>
      </c>
      <c r="AE59" s="785"/>
      <c r="AF59" s="785">
        <f>COUNTIFS('CLIENT ENROLLMENT DISCHARGE '!D15:D5000,"&gt;=05/01/2021",'CLIENT ENROLLMENT DISCHARGE '!D15:D5000,"&lt;=05/31/2021",MAY!F15:F5000,"YES")</f>
        <v>0</v>
      </c>
      <c r="AG59" s="785"/>
      <c r="AH59" s="785">
        <f>COUNTIFS('CLIENT ENROLLMENT DISCHARGE '!D15:D5000,"&gt;=06/01/2021",'CLIENT ENROLLMENT DISCHARGE '!D15:D5000,"&lt;=06/30/2021",JUNE!F15:F5000,"YES")</f>
        <v>0</v>
      </c>
      <c r="AI59" s="785"/>
      <c r="AJ59" s="786" t="e">
        <f>SUM(J59:AH59)</f>
        <v>#VALUE!</v>
      </c>
      <c r="AK59" s="787"/>
      <c r="AL59" s="788"/>
      <c r="AM59" s="888" t="e">
        <f>AJ59+AJ60</f>
        <v>#VALUE!</v>
      </c>
    </row>
    <row r="60" spans="1:40" ht="39.950000000000003" customHeight="1" x14ac:dyDescent="0.25">
      <c r="A60" s="525" t="s">
        <v>216</v>
      </c>
      <c r="B60" s="526"/>
      <c r="C60" s="526"/>
      <c r="D60" s="526"/>
      <c r="E60" s="526"/>
      <c r="F60" s="526"/>
      <c r="G60" s="526"/>
      <c r="H60" s="526"/>
      <c r="I60" s="526"/>
      <c r="J60" s="149"/>
      <c r="K60" s="150"/>
      <c r="L60" s="786">
        <f>COUNTIFS('CLIENT ENROLLMENT DISCHARGE '!D15:D5000,"&gt;=07/01/2000",'CLIENT ENROLLMENT DISCHARGE '!D15:D5000,"&lt;=07/31/2020",JULY!F16:F5001,"NO")</f>
        <v>0</v>
      </c>
      <c r="M60" s="788"/>
      <c r="N60" s="786">
        <f>COUNTIFS('CLIENT ENROLLMENT DISCHARGE '!D15:D5000,"&gt;=08/01/2020",'CLIENT ENROLLMENT DISCHARGE '!D15:D5000,"&lt;=08/31/2020",AUG!E15:E5000,"NO")</f>
        <v>0</v>
      </c>
      <c r="O60" s="788"/>
      <c r="P60" s="786">
        <f>COUNTIFS('CLIENT ENROLLMENT DISCHARGE '!D15:D5000,"&gt;=09/01/2020",'CLIENT ENROLLMENT DISCHARGE '!D15:D5000,"&lt;=09/30/2020",SEPT!F15:F5000,"NO")</f>
        <v>0</v>
      </c>
      <c r="Q60" s="788"/>
      <c r="R60" s="786">
        <f>COUNTIFS('CLIENT ENROLLMENT DISCHARGE '!D15:D5000,"&gt;=10/01/2020",'CLIENT ENROLLMENT DISCHARGE '!D15:D5000,"&lt;=10/31/2020",OCT!F15:F5000,"NO")</f>
        <v>0</v>
      </c>
      <c r="S60" s="788"/>
      <c r="T60" s="786">
        <f>COUNTIFS('CLIENT ENROLLMENT DISCHARGE '!D15:D5000,"&gt;=11/01/2020",'CLIENT ENROLLMENT DISCHARGE '!D15:D5000,"&lt;=11/30/2020",NOV!F15:F5000,"NO")</f>
        <v>0</v>
      </c>
      <c r="U60" s="788"/>
      <c r="V60" s="786" t="e">
        <f>COUNTIFS('CLIENT ENROLLMENT DISCHARGE '!D15:D5000,"&gt;=12/01/2020",'CLIENT ENROLLMENT DISCHARGE '!D15:D5000,"&lt;=12/31/2020",DEC!F15:F4999,"NO")</f>
        <v>#VALUE!</v>
      </c>
      <c r="W60" s="788"/>
      <c r="X60" s="786">
        <f>COUNTIFS('CLIENT ENROLLMENT DISCHARGE '!D15:D5000,"&gt;=01/01/2021",'CLIENT ENROLLMENT DISCHARGE '!D15:D5000,"&lt;=01/31/2021",JAN!F15:F5000,"NO")</f>
        <v>0</v>
      </c>
      <c r="Y60" s="788"/>
      <c r="Z60" s="786">
        <f>COUNTIFS('CLIENT ENROLLMENT DISCHARGE '!D15:D5000,"&gt;=02/01/2021",'CLIENT ENROLLMENT DISCHARGE '!D15:D5000,"&lt;=02/28/2021",FEB!F15:F5000,"NO")</f>
        <v>0</v>
      </c>
      <c r="AA60" s="788"/>
      <c r="AB60" s="786">
        <f>COUNTIFS('CLIENT ENROLLMENT DISCHARGE '!D15:D5000,"&gt;=03/01/2021",'CLIENT ENROLLMENT DISCHARGE '!D15:D5000,"&lt;=03/31/2021",MAR!F15:F5000,"NO")</f>
        <v>0</v>
      </c>
      <c r="AC60" s="788"/>
      <c r="AD60" s="786">
        <f>COUNTIFS('CLIENT ENROLLMENT DISCHARGE '!D15:D5000,"&gt;=04/01/2021",'CLIENT ENROLLMENT DISCHARGE '!D15:D5000,"&lt;=04/30/2021",APR!F15:F5000,"NO")</f>
        <v>0</v>
      </c>
      <c r="AE60" s="788"/>
      <c r="AF60" s="786">
        <f>COUNTIFS('CLIENT ENROLLMENT DISCHARGE '!D15:D5000,"&gt;=05/01/2021",'CLIENT ENROLLMENT DISCHARGE '!D15:D5000,"&lt;=05/31/2021",MAY!F15:F5000,"NO")</f>
        <v>0</v>
      </c>
      <c r="AG60" s="788"/>
      <c r="AH60" s="786">
        <f>COUNTIFS('CLIENT ENROLLMENT DISCHARGE '!D15:D5000,"&gt;=06/01/2021",'CLIENT ENROLLMENT DISCHARGE '!D15:D5000,"&lt;=06/30/2021",JUNE!F15:F5000,"NO")</f>
        <v>0</v>
      </c>
      <c r="AI60" s="788"/>
      <c r="AJ60" s="786" t="e">
        <f>SUM(J60:AH60)</f>
        <v>#VALUE!</v>
      </c>
      <c r="AK60" s="787"/>
      <c r="AL60" s="788"/>
      <c r="AM60" s="889"/>
    </row>
    <row r="61" spans="1:40" ht="39.950000000000003" customHeight="1" x14ac:dyDescent="0.25">
      <c r="A61" s="789" t="s">
        <v>192</v>
      </c>
      <c r="B61" s="790"/>
      <c r="C61" s="790"/>
      <c r="D61" s="790"/>
      <c r="E61" s="790"/>
      <c r="F61" s="790"/>
      <c r="G61" s="790"/>
      <c r="H61" s="790"/>
      <c r="I61" s="790"/>
      <c r="J61" s="573">
        <f>SUM(J57:J59)</f>
        <v>0</v>
      </c>
      <c r="K61" s="574"/>
      <c r="L61" s="780">
        <f>L57+L59</f>
        <v>0</v>
      </c>
      <c r="M61" s="782"/>
      <c r="N61" s="780">
        <f>N57+N59</f>
        <v>0</v>
      </c>
      <c r="O61" s="782"/>
      <c r="P61" s="780">
        <f>P57+P59</f>
        <v>0</v>
      </c>
      <c r="Q61" s="782"/>
      <c r="R61" s="780">
        <f>R57+R59</f>
        <v>0</v>
      </c>
      <c r="S61" s="782"/>
      <c r="T61" s="780">
        <f>T57+T59</f>
        <v>0</v>
      </c>
      <c r="U61" s="782"/>
      <c r="V61" s="780" t="e">
        <f>V57+V59</f>
        <v>#VALUE!</v>
      </c>
      <c r="W61" s="782"/>
      <c r="X61" s="780">
        <f>X57+X59</f>
        <v>0</v>
      </c>
      <c r="Y61" s="782"/>
      <c r="Z61" s="780">
        <f>Z57+Z59</f>
        <v>0</v>
      </c>
      <c r="AA61" s="782"/>
      <c r="AB61" s="780">
        <f>AB57+AB59</f>
        <v>0</v>
      </c>
      <c r="AC61" s="782"/>
      <c r="AD61" s="780">
        <f>AD57+AD59</f>
        <v>0</v>
      </c>
      <c r="AE61" s="782"/>
      <c r="AF61" s="780">
        <f>AF57+AF59</f>
        <v>0</v>
      </c>
      <c r="AG61" s="782"/>
      <c r="AH61" s="780">
        <f>AH57+AH59</f>
        <v>0</v>
      </c>
      <c r="AI61" s="782"/>
      <c r="AJ61" s="780" t="e">
        <f>AJ5+AJ59</f>
        <v>#VALUE!</v>
      </c>
      <c r="AK61" s="781"/>
      <c r="AL61" s="782"/>
    </row>
    <row r="62" spans="1:40" ht="30" customHeight="1" x14ac:dyDescent="0.25">
      <c r="A62" s="783" t="s">
        <v>19</v>
      </c>
      <c r="B62" s="784"/>
      <c r="C62" s="784"/>
      <c r="D62" s="784"/>
      <c r="E62" s="784"/>
      <c r="F62" s="784"/>
      <c r="G62" s="784"/>
      <c r="H62" s="784"/>
      <c r="I62" s="784"/>
      <c r="J62" s="519"/>
      <c r="K62" s="520"/>
      <c r="L62" s="621" t="s">
        <v>153</v>
      </c>
      <c r="M62" s="621"/>
      <c r="N62" s="621" t="s">
        <v>154</v>
      </c>
      <c r="O62" s="621"/>
      <c r="P62" s="621" t="s">
        <v>155</v>
      </c>
      <c r="Q62" s="621"/>
      <c r="R62" s="621" t="s">
        <v>156</v>
      </c>
      <c r="S62" s="621"/>
      <c r="T62" s="621" t="s">
        <v>157</v>
      </c>
      <c r="U62" s="621"/>
      <c r="V62" s="621" t="s">
        <v>158</v>
      </c>
      <c r="W62" s="621"/>
      <c r="X62" s="621" t="s">
        <v>159</v>
      </c>
      <c r="Y62" s="621"/>
      <c r="Z62" s="621" t="s">
        <v>160</v>
      </c>
      <c r="AA62" s="621"/>
      <c r="AB62" s="621" t="s">
        <v>161</v>
      </c>
      <c r="AC62" s="621"/>
      <c r="AD62" s="621" t="s">
        <v>162</v>
      </c>
      <c r="AE62" s="621"/>
      <c r="AF62" s="621" t="s">
        <v>163</v>
      </c>
      <c r="AG62" s="621"/>
      <c r="AH62" s="621" t="s">
        <v>164</v>
      </c>
      <c r="AI62" s="621"/>
      <c r="AJ62" s="621" t="s">
        <v>165</v>
      </c>
      <c r="AK62" s="621"/>
      <c r="AL62" s="621"/>
    </row>
    <row r="63" spans="1:40" ht="20.100000000000001" customHeight="1" x14ac:dyDescent="0.25">
      <c r="A63" s="660" t="s">
        <v>52</v>
      </c>
      <c r="B63" s="661"/>
      <c r="C63" s="661"/>
      <c r="D63" s="661"/>
      <c r="E63" s="661"/>
      <c r="F63" s="661"/>
      <c r="G63" s="661"/>
      <c r="H63" s="661"/>
      <c r="I63" s="661"/>
      <c r="J63" s="516"/>
      <c r="K63" s="517"/>
      <c r="L63" s="775">
        <f>COUNTIFS('CLIENT ENROLLMENT DISCHARGE '!D15:D5000,"&gt;=07/01/2000",'CLIENT ENROLLMENT DISCHARGE '!D15:D5000,"&lt;=07/31/2020",JULY!G16:G5001,"YES")</f>
        <v>0</v>
      </c>
      <c r="M63" s="776"/>
      <c r="N63" s="775">
        <f>COUNTIFS('CLIENT ENROLLMENT DISCHARGE '!D15:D5000,"&gt;=08/01/2020",'CLIENT ENROLLMENT DISCHARGE '!D15:D5000,"&lt;=08/31/2020",AUG!G15:G5000,"YES")</f>
        <v>0</v>
      </c>
      <c r="O63" s="776"/>
      <c r="P63" s="775">
        <f>COUNTIFS('CLIENT ENROLLMENT DISCHARGE '!D15:D5000,"&gt;=09/01/2020",'CLIENT ENROLLMENT DISCHARGE '!D15:D5000,"&lt;=09/30/2020",SEPT!G15:G5000,"YES")</f>
        <v>0</v>
      </c>
      <c r="Q63" s="776"/>
      <c r="R63" s="775">
        <f>COUNTIFS('CLIENT ENROLLMENT DISCHARGE '!D15:D5000,"&gt;=10/01/2020",'CLIENT ENROLLMENT DISCHARGE '!D15:D5000,"&lt;=10/31/2020",OCT!G15:G5000,"YES")</f>
        <v>0</v>
      </c>
      <c r="S63" s="776"/>
      <c r="T63" s="775">
        <f>COUNTIFS('CLIENT ENROLLMENT DISCHARGE '!D15:D5000,"&gt;=11/01/2020",'CLIENT ENROLLMENT DISCHARGE '!D15:D5000,"&lt;=11/30/2020",NOV!G15:G5000,"YES")</f>
        <v>0</v>
      </c>
      <c r="U63" s="776"/>
      <c r="V63" s="775" t="e">
        <f>COUNTIFS('CLIENT ENROLLMENT DISCHARGE '!D15:D5000,"&gt;=12/01/2020",'CLIENT ENROLLMENT DISCHARGE '!D15:D5000,"&lt;=12/31/2020",DEC!G15:G4999,"YES")</f>
        <v>#VALUE!</v>
      </c>
      <c r="W63" s="776"/>
      <c r="X63" s="771">
        <f>COUNTIFS('CLIENT ENROLLMENT DISCHARGE '!D15:D5000,"&gt;=01/01/2021",'CLIENT ENROLLMENT DISCHARGE '!D15:D5000,"&lt;=01/31/2021",JAN!G15:G5000,"YES")</f>
        <v>0</v>
      </c>
      <c r="Y63" s="771"/>
      <c r="Z63" s="771">
        <f>COUNTIFS('CLIENT ENROLLMENT DISCHARGE '!D15:D5000,"&gt;=02/01/2021",'CLIENT ENROLLMENT DISCHARGE '!D15:D5000,"&lt;=02/28/2021",FEB!G15:G5000,"YES")</f>
        <v>0</v>
      </c>
      <c r="AA63" s="771"/>
      <c r="AB63" s="771">
        <f>COUNTIFS('CLIENT ENROLLMENT DISCHARGE '!D15:D5000,"&gt;=03/01/2021",'CLIENT ENROLLMENT DISCHARGE '!D15:D5000,"&lt;=03/31/2021",MAR!G15:G5000,"YES")</f>
        <v>0</v>
      </c>
      <c r="AC63" s="771"/>
      <c r="AD63" s="771">
        <f>COUNTIFS('CLIENT ENROLLMENT DISCHARGE '!D15:D5000,"&gt;=04/01/2021",'CLIENT ENROLLMENT DISCHARGE '!D15:D5000,"&lt;=04/30/2021",APR!G15:G5000,"YES")</f>
        <v>0</v>
      </c>
      <c r="AE63" s="771"/>
      <c r="AF63" s="771">
        <f>COUNTIFS('CLIENT ENROLLMENT DISCHARGE '!D15:D5000,"&gt;=05/01/2021",'CLIENT ENROLLMENT DISCHARGE '!D15:D5000,"&lt;=05/31/2021",MAY!G15:G5000,"YES")</f>
        <v>0</v>
      </c>
      <c r="AG63" s="771"/>
      <c r="AH63" s="771">
        <f>COUNTIFS('CLIENT ENROLLMENT DISCHARGE '!D15:D5000,"&gt;=06/01/2021",'CLIENT ENROLLMENT DISCHARGE '!D15:D5000,"&lt;=06/30/2021",JUNE!G15:G5000,"YES")</f>
        <v>0</v>
      </c>
      <c r="AI63" s="771"/>
      <c r="AJ63" s="772" t="e">
        <f>SUM(L63:AI63)</f>
        <v>#VALUE!</v>
      </c>
      <c r="AK63" s="773"/>
      <c r="AL63" s="774"/>
      <c r="AN63" t="s">
        <v>104</v>
      </c>
    </row>
    <row r="64" spans="1:40" ht="20.100000000000001" customHeight="1" x14ac:dyDescent="0.25">
      <c r="A64" s="151" t="s">
        <v>43</v>
      </c>
      <c r="B64" s="152"/>
      <c r="C64" s="152"/>
      <c r="D64" s="152"/>
      <c r="E64" s="152"/>
      <c r="F64" s="152"/>
      <c r="G64" s="152"/>
      <c r="H64" s="152"/>
      <c r="I64" s="152"/>
      <c r="J64" s="149"/>
      <c r="K64" s="150"/>
      <c r="L64" s="775">
        <f>COUNTIFS('CLIENT ENROLLMENT DISCHARGE '!D15:D5000,"&gt;=07/01/2000",'CLIENT ENROLLMENT DISCHARGE '!D15:D5000,"&lt;=07/31/2020",JULY!G16:G5001,"NO")</f>
        <v>0</v>
      </c>
      <c r="M64" s="776"/>
      <c r="N64" s="775">
        <f>COUNTIFS('CLIENT ENROLLMENT DISCHARGE '!D15:D5000,"&gt;=08/01/2020",'CLIENT ENROLLMENT DISCHARGE '!D15:D5000,"&lt;=08/31/2020",AUG!G15:G5000,"NO")</f>
        <v>0</v>
      </c>
      <c r="O64" s="776"/>
      <c r="P64" s="775">
        <f>COUNTIFS('CLIENT ENROLLMENT DISCHARGE '!D15:D5000,"&gt;=09/01/2020",'CLIENT ENROLLMENT DISCHARGE '!D15:D5000,"&lt;=09/30/2020",SEPT!G15:G5000,"NO")</f>
        <v>0</v>
      </c>
      <c r="Q64" s="776"/>
      <c r="R64" s="775">
        <f>COUNTIFS('CLIENT ENROLLMENT DISCHARGE '!D15:D5000,"&gt;=10/01/2020",'CLIENT ENROLLMENT DISCHARGE '!D15:D5000,"&lt;=10/31/2020",OCT!G15:G5000,"NO")</f>
        <v>0</v>
      </c>
      <c r="S64" s="776"/>
      <c r="T64" s="775">
        <f>COUNTIFS('CLIENT ENROLLMENT DISCHARGE '!D15:D5000,"&gt;=11/01/2020",'CLIENT ENROLLMENT DISCHARGE '!D15:D5000,"&lt;=11/30/2020",NOV!G15:G5000,"NO")</f>
        <v>0</v>
      </c>
      <c r="U64" s="776"/>
      <c r="V64" s="775" t="e">
        <f>COUNTIFS('CLIENT ENROLLMENT DISCHARGE '!D15:D5000,"&gt;=12/01/2020",'CLIENT ENROLLMENT DISCHARGE '!D15:D5000,"&lt;=12/31/2020",DEC!G15:G4999,"NO")</f>
        <v>#VALUE!</v>
      </c>
      <c r="W64" s="776"/>
      <c r="X64" s="775">
        <f>COUNTIFS('CLIENT ENROLLMENT DISCHARGE '!D15:D5000,"&gt;=01/01/2021",'CLIENT ENROLLMENT DISCHARGE '!D15:D5000,"&lt;=01/31/2021",JAN!G15:G5000,"NO")</f>
        <v>0</v>
      </c>
      <c r="Y64" s="776"/>
      <c r="Z64" s="775">
        <f>COUNTIFS('CLIENT ENROLLMENT DISCHARGE '!D15:D5000,"&gt;=02/01/2021",'CLIENT ENROLLMENT DISCHARGE '!D15:D5000,"&lt;=02/28/2021",FEB!G15:G5000,"NO")</f>
        <v>0</v>
      </c>
      <c r="AA64" s="776"/>
      <c r="AB64" s="775">
        <f>COUNTIFS('CLIENT ENROLLMENT DISCHARGE '!D15:D5000,"&gt;=03/01/2021",'CLIENT ENROLLMENT DISCHARGE '!D15:D5000,"&lt;=03/31/2021",MAR!G15:G5000,"NO")</f>
        <v>0</v>
      </c>
      <c r="AC64" s="776"/>
      <c r="AD64" s="775">
        <f>COUNTIFS('CLIENT ENROLLMENT DISCHARGE '!D15:D5000,"&gt;=04/01/2021",'CLIENT ENROLLMENT DISCHARGE '!D15:D5000,"&lt;=04/30/2021",APR!G15:G5000,"NO")</f>
        <v>0</v>
      </c>
      <c r="AE64" s="776"/>
      <c r="AF64" s="775">
        <f>COUNTIFS('CLIENT ENROLLMENT DISCHARGE '!D15:D5000,"&gt;=05/01/2021",'CLIENT ENROLLMENT DISCHARGE '!D15:D5000,"&lt;=05/31/2021",MAY!G15:G5000,"NO")</f>
        <v>0</v>
      </c>
      <c r="AG64" s="776"/>
      <c r="AH64" s="775">
        <f>COUNTIFS('CLIENT ENROLLMENT DISCHARGE '!D15:D5000,"&gt;=06/01/2021",'CLIENT ENROLLMENT DISCHARGE '!D15:D5000,"&lt;=06/30/2021",JUNE!G15:G5000,"NO")</f>
        <v>0</v>
      </c>
      <c r="AI64" s="776"/>
      <c r="AJ64" s="772" t="e">
        <f>SUM(L64:AI64)</f>
        <v>#VALUE!</v>
      </c>
      <c r="AK64" s="773"/>
      <c r="AL64" s="774"/>
    </row>
    <row r="65" spans="1:38" ht="30" customHeight="1" x14ac:dyDescent="0.3">
      <c r="A65" s="619" t="s">
        <v>193</v>
      </c>
      <c r="B65" s="620"/>
      <c r="C65" s="620"/>
      <c r="D65" s="620"/>
      <c r="E65" s="620"/>
      <c r="F65" s="620"/>
      <c r="G65" s="620"/>
      <c r="H65" s="620"/>
      <c r="I65" s="620"/>
      <c r="J65" s="531"/>
      <c r="K65" s="532"/>
      <c r="L65" s="769">
        <f>SUM(L63:L64)</f>
        <v>0</v>
      </c>
      <c r="M65" s="770"/>
      <c r="N65" s="769">
        <f>SUM(N63:N64)</f>
        <v>0</v>
      </c>
      <c r="O65" s="770"/>
      <c r="P65" s="769">
        <f>SUM(P63:P64)</f>
        <v>0</v>
      </c>
      <c r="Q65" s="770"/>
      <c r="R65" s="769">
        <f>SUM(R63:R64)</f>
        <v>0</v>
      </c>
      <c r="S65" s="770"/>
      <c r="T65" s="769">
        <f>SUM(T63:T64)</f>
        <v>0</v>
      </c>
      <c r="U65" s="770"/>
      <c r="V65" s="769" t="e">
        <f>SUM(V63:V64)</f>
        <v>#VALUE!</v>
      </c>
      <c r="W65" s="770"/>
      <c r="X65" s="769">
        <f>SUM(X63:X64)</f>
        <v>0</v>
      </c>
      <c r="Y65" s="770"/>
      <c r="Z65" s="769">
        <f>SUM(Z63:Z64)</f>
        <v>0</v>
      </c>
      <c r="AA65" s="770"/>
      <c r="AB65" s="769">
        <f>SUM(AB63:AB64)</f>
        <v>0</v>
      </c>
      <c r="AC65" s="770"/>
      <c r="AD65" s="769">
        <f>SUM(AD63:AD64)</f>
        <v>0</v>
      </c>
      <c r="AE65" s="770"/>
      <c r="AF65" s="769">
        <f>SUM(AF63:AF64)</f>
        <v>0</v>
      </c>
      <c r="AG65" s="770"/>
      <c r="AH65" s="769">
        <f>SUM(AH63:AH64)</f>
        <v>0</v>
      </c>
      <c r="AI65" s="770"/>
      <c r="AJ65" s="777" t="e">
        <f>SUM(L65:AI65)</f>
        <v>#VALUE!</v>
      </c>
      <c r="AK65" s="778"/>
      <c r="AL65" s="779"/>
    </row>
    <row r="66" spans="1:38" ht="30" customHeight="1" x14ac:dyDescent="0.25">
      <c r="A66" s="523" t="s">
        <v>194</v>
      </c>
      <c r="B66" s="524"/>
      <c r="C66" s="524"/>
      <c r="D66" s="524"/>
      <c r="E66" s="524"/>
      <c r="F66" s="524"/>
      <c r="G66" s="524"/>
      <c r="H66" s="524"/>
      <c r="I66" s="524"/>
      <c r="J66" s="519" t="s">
        <v>152</v>
      </c>
      <c r="K66" s="520"/>
      <c r="L66" s="610" t="s">
        <v>153</v>
      </c>
      <c r="M66" s="610"/>
      <c r="N66" s="610" t="s">
        <v>154</v>
      </c>
      <c r="O66" s="610"/>
      <c r="P66" s="610" t="s">
        <v>155</v>
      </c>
      <c r="Q66" s="610"/>
      <c r="R66" s="610" t="s">
        <v>156</v>
      </c>
      <c r="S66" s="610"/>
      <c r="T66" s="610" t="s">
        <v>157</v>
      </c>
      <c r="U66" s="610"/>
      <c r="V66" s="610" t="s">
        <v>158</v>
      </c>
      <c r="W66" s="610"/>
      <c r="X66" s="610" t="s">
        <v>159</v>
      </c>
      <c r="Y66" s="610"/>
      <c r="Z66" s="610" t="s">
        <v>160</v>
      </c>
      <c r="AA66" s="610"/>
      <c r="AB66" s="610" t="s">
        <v>161</v>
      </c>
      <c r="AC66" s="610"/>
      <c r="AD66" s="610" t="s">
        <v>162</v>
      </c>
      <c r="AE66" s="610"/>
      <c r="AF66" s="610" t="s">
        <v>163</v>
      </c>
      <c r="AG66" s="610"/>
      <c r="AH66" s="610" t="s">
        <v>164</v>
      </c>
      <c r="AI66" s="610"/>
      <c r="AJ66" s="610" t="s">
        <v>165</v>
      </c>
      <c r="AK66" s="610"/>
      <c r="AL66" s="610"/>
    </row>
    <row r="67" spans="1:38" ht="20.100000000000001" customHeight="1" x14ac:dyDescent="0.25">
      <c r="A67" s="507" t="s">
        <v>48</v>
      </c>
      <c r="B67" s="508"/>
      <c r="C67" s="508"/>
      <c r="D67" s="508"/>
      <c r="E67" s="508"/>
      <c r="F67" s="508"/>
      <c r="G67" s="508"/>
      <c r="H67" s="508"/>
      <c r="I67" s="508"/>
      <c r="J67" s="516"/>
      <c r="K67" s="517"/>
      <c r="L67" s="715">
        <f>COUNTIFS('CLIENT ENROLLMENT DISCHARGE '!D15:D5000,"&gt;=07/01/2000",'CLIENT ENROLLMENT DISCHARGE '!D15:D5000,"&lt;=07/31/2020",JULY!H16:H5001,"DRS")</f>
        <v>0</v>
      </c>
      <c r="M67" s="715"/>
      <c r="N67" s="715">
        <f>COUNTIFS('CLIENT ENROLLMENT DISCHARGE '!D15:D5000,"&gt;=08/01/2020",'CLIENT ENROLLMENT DISCHARGE '!D15:D5000,"&lt;=08/31/2020",AUG!H15:H5000,"DRS")</f>
        <v>0</v>
      </c>
      <c r="O67" s="715"/>
      <c r="P67" s="715">
        <f>COUNTIFS('CLIENT ENROLLMENT DISCHARGE '!D15:D5000,"&gt;=09/01/2020",'CLIENT ENROLLMENT DISCHARGE '!D15:D5000,"&lt;=09/30/2020",SEPT!H15:H5000,"DRS")</f>
        <v>0</v>
      </c>
      <c r="Q67" s="715"/>
      <c r="R67" s="715">
        <f>COUNTIFS('CLIENT ENROLLMENT DISCHARGE '!D15:D5000,"&gt;=10/01/2020",'CLIENT ENROLLMENT DISCHARGE '!D15:D5000,"&lt;=10/31/2020",OCT!H15:H5000,"DRS")</f>
        <v>0</v>
      </c>
      <c r="S67" s="715"/>
      <c r="T67" s="715">
        <f>COUNTIFS('CLIENT ENROLLMENT DISCHARGE '!D15:D5000,"&gt;=11/01/2020",'CLIENT ENROLLMENT DISCHARGE '!D15:D5000,"&lt;=11/30/2020",NOV!H15:H5000,"DRS")</f>
        <v>0</v>
      </c>
      <c r="U67" s="715"/>
      <c r="V67" s="715" t="e">
        <f>COUNTIFS('CLIENT ENROLLMENT DISCHARGE '!D15:D5000,"&gt;=12/01/2020",'CLIENT ENROLLMENT DISCHARGE '!D15:D5000,"&lt;=12/31/2020",DEC!H15:H4999,"DRS")</f>
        <v>#VALUE!</v>
      </c>
      <c r="W67" s="715"/>
      <c r="X67" s="715">
        <f>COUNTIFS('CLIENT ENROLLMENT DISCHARGE '!D15:D5000,"&gt;=01/01/2021",'CLIENT ENROLLMENT DISCHARGE '!D15:D5000,"&lt;=01/31/2021",JAN!H15:H5000,"DRS")</f>
        <v>0</v>
      </c>
      <c r="Y67" s="715"/>
      <c r="Z67" s="715">
        <f>COUNTIFS('CLIENT ENROLLMENT DISCHARGE '!D15:D5000,"&gt;=02/01/2021",'CLIENT ENROLLMENT DISCHARGE '!D15:D5000,"&lt;=02/28/2021",FEB!H15:H5000,"DRS")</f>
        <v>0</v>
      </c>
      <c r="AA67" s="715"/>
      <c r="AB67" s="715">
        <f>COUNTIFS('CLIENT ENROLLMENT DISCHARGE '!D15:D5000,"&gt;=03/01/2021",'CLIENT ENROLLMENT DISCHARGE '!D15:D5000,"&lt;=03/31/2021",MAR!H15:H5000,"DRS")</f>
        <v>0</v>
      </c>
      <c r="AC67" s="715"/>
      <c r="AD67" s="715">
        <f>COUNTIFS('CLIENT ENROLLMENT DISCHARGE '!D15:D5000,"&gt;=04/01/2021",'CLIENT ENROLLMENT DISCHARGE '!D15:D5000,"&lt;=04/30/2021",APR!H15:H5000,"DRS")</f>
        <v>0</v>
      </c>
      <c r="AE67" s="715"/>
      <c r="AF67" s="715">
        <f>COUNTIFS('CLIENT ENROLLMENT DISCHARGE '!D15:D5000,"&gt;=05/01/2021",'CLIENT ENROLLMENT DISCHARGE '!D15:D5000,"&lt;=05/31/2021",MAY!H15:H5000,"DRS")</f>
        <v>0</v>
      </c>
      <c r="AG67" s="715"/>
      <c r="AH67" s="715">
        <f>COUNTIFS('CLIENT ENROLLMENT DISCHARGE '!D15:D5000,"&gt;=06/01/2021",'CLIENT ENROLLMENT DISCHARGE '!D15:D5000,"&lt;=06/30/2021",JUNE!H15:H5000,"DRS")</f>
        <v>0</v>
      </c>
      <c r="AI67" s="715"/>
      <c r="AJ67" s="529" t="e">
        <f>SUM(J67:AH67)</f>
        <v>#VALUE!</v>
      </c>
      <c r="AK67" s="607"/>
      <c r="AL67" s="530"/>
    </row>
    <row r="68" spans="1:38" ht="20.100000000000001" customHeight="1" x14ac:dyDescent="0.25">
      <c r="A68" s="507" t="s">
        <v>53</v>
      </c>
      <c r="B68" s="508"/>
      <c r="C68" s="508"/>
      <c r="D68" s="508"/>
      <c r="E68" s="508"/>
      <c r="F68" s="508"/>
      <c r="G68" s="508"/>
      <c r="H68" s="508"/>
      <c r="I68" s="508"/>
      <c r="J68" s="516"/>
      <c r="K68" s="517"/>
      <c r="L68" s="715">
        <f>COUNTIFS('CLIENT ENROLLMENT DISCHARGE '!D15:D5000,"&gt;=07/01/2000",'CLIENT ENROLLMENT DISCHARGE '!D15:D5000,"&lt;=07/31/2020",JULY!H16:H5001,"Waiver")</f>
        <v>0</v>
      </c>
      <c r="M68" s="715"/>
      <c r="N68" s="715">
        <f>COUNTIFS('CLIENT ENROLLMENT DISCHARGE '!D15:D5000,"&gt;=08/01/2020",'CLIENT ENROLLMENT DISCHARGE '!D15:D5000,"&lt;=08/31/2020",AUG!H15:H5000,"Waiver")</f>
        <v>0</v>
      </c>
      <c r="O68" s="715"/>
      <c r="P68" s="715">
        <f>COUNTIFS('CLIENT ENROLLMENT DISCHARGE '!D15:D5000,"&gt;=09/01/2020",'CLIENT ENROLLMENT DISCHARGE '!D15:D5000,"&lt;=09/30/2020",SEPT!H15:H5000,"Waiver")</f>
        <v>0</v>
      </c>
      <c r="Q68" s="715"/>
      <c r="R68" s="715">
        <f>COUNTIFS('CLIENT ENROLLMENT DISCHARGE '!D15:D5000,"&gt;=10/01/2020",'CLIENT ENROLLMENT DISCHARGE '!D15:D5000,"&lt;=10/31/2020",OCT!H15:H5000,"Waiver")</f>
        <v>0</v>
      </c>
      <c r="S68" s="715"/>
      <c r="T68" s="715">
        <f>COUNTIFS('CLIENT ENROLLMENT DISCHARGE '!D15:D5000,"&gt;=11/01/2020",'CLIENT ENROLLMENT DISCHARGE '!D15:D5000,"&lt;=11/30/2020",NOV!H15:H5000,"Waiver")</f>
        <v>0</v>
      </c>
      <c r="U68" s="715"/>
      <c r="V68" s="715" t="e">
        <f>COUNTIFS('CLIENT ENROLLMENT DISCHARGE '!D15:D5000,"&gt;=12/01/2020",'CLIENT ENROLLMENT DISCHARGE '!D15:D5000,"&lt;=12/31/2020",DEC!H15:H4999,"Waiver")</f>
        <v>#VALUE!</v>
      </c>
      <c r="W68" s="715"/>
      <c r="X68" s="715">
        <f>COUNTIFS('CLIENT ENROLLMENT DISCHARGE '!D15:D5000,"&gt;=01/01/2021",'CLIENT ENROLLMENT DISCHARGE '!D15:D5000,"&lt;=01/31/2021",JAN!H15:H5000,"Waiver")</f>
        <v>0</v>
      </c>
      <c r="Y68" s="715"/>
      <c r="Z68" s="715">
        <f>COUNTIFS('CLIENT ENROLLMENT DISCHARGE '!D15:D5000,"&gt;=02/01/2021",'CLIENT ENROLLMENT DISCHARGE '!D15:D5000,"&lt;=02/28/2021",FEB!H15:H5000,"Waiver")</f>
        <v>0</v>
      </c>
      <c r="AA68" s="715"/>
      <c r="AB68" s="715">
        <f>COUNTIFS('CLIENT ENROLLMENT DISCHARGE '!D15:D5000,"&gt;=03/01/2021",'CLIENT ENROLLMENT DISCHARGE '!D15:D5000,"&lt;=03/31/2021",MAR!H15:H5000,"Waiver")</f>
        <v>0</v>
      </c>
      <c r="AC68" s="715"/>
      <c r="AD68" s="715">
        <f>COUNTIFS('CLIENT ENROLLMENT DISCHARGE '!D15:D5000,"&gt;=04/01/2021",'CLIENT ENROLLMENT DISCHARGE '!D15:D5000,"&lt;=04/30/2021",APR!H15:H5000,"Waiver")</f>
        <v>0</v>
      </c>
      <c r="AE68" s="715"/>
      <c r="AF68" s="715">
        <f>COUNTIFS('CLIENT ENROLLMENT DISCHARGE '!D15:D5000,"&gt;=05/01/2021",'CLIENT ENROLLMENT DISCHARGE '!D15:D5000,"&lt;=05/31/2021",MAY!H15:H5000,"Waiver")</f>
        <v>0</v>
      </c>
      <c r="AG68" s="715"/>
      <c r="AH68" s="715">
        <f>COUNTIFS('CLIENT ENROLLMENT DISCHARGE '!D15:D5000,"&gt;=06/01/2021",'CLIENT ENROLLMENT DISCHARGE '!D15:D5000,"&lt;=06/30/2021",JUNE!H15:H5000,"Waiver")</f>
        <v>0</v>
      </c>
      <c r="AI68" s="715"/>
      <c r="AJ68" s="529" t="e">
        <f>SUM(J68:AH68)</f>
        <v>#VALUE!</v>
      </c>
      <c r="AK68" s="607"/>
      <c r="AL68" s="530"/>
    </row>
    <row r="69" spans="1:38" ht="20.100000000000001" customHeight="1" x14ac:dyDescent="0.25">
      <c r="A69" s="507" t="s">
        <v>188</v>
      </c>
      <c r="B69" s="508"/>
      <c r="C69" s="508"/>
      <c r="D69" s="508"/>
      <c r="E69" s="508"/>
      <c r="F69" s="508"/>
      <c r="G69" s="508"/>
      <c r="H69" s="508"/>
      <c r="I69" s="508"/>
      <c r="J69" s="516"/>
      <c r="K69" s="517"/>
      <c r="L69" s="715">
        <f>COUNTIFS('CLIENT ENROLLMENT DISCHARGE '!D15:D5000,"&gt;=07/01/2000",'CLIENT ENROLLMENT DISCHARGE '!D15:D5000,"&lt;=07/31/2020",JULY!H16:H5001,"Other (Specify) ")</f>
        <v>0</v>
      </c>
      <c r="M69" s="715"/>
      <c r="N69" s="715">
        <f>COUNTIFS('CLIENT ENROLLMENT DISCHARGE '!D15:D5000,"&gt;=08/01/2020",'CLIENT ENROLLMENT DISCHARGE '!D15:D5000,"&lt;=08/31/2020",AUG!H15:H5000,"Other (Specify) ")</f>
        <v>0</v>
      </c>
      <c r="O69" s="715"/>
      <c r="P69" s="715">
        <f>COUNTIFS('CLIENT ENROLLMENT DISCHARGE '!D15:D5000,"&gt;=09/01/2020",'CLIENT ENROLLMENT DISCHARGE '!D15:D5000,"&lt;=09/30/2020",SEPT!H15:H5000,"Other (Specify) ")</f>
        <v>0</v>
      </c>
      <c r="Q69" s="715"/>
      <c r="R69" s="715">
        <f>COUNTIFS('CLIENT ENROLLMENT DISCHARGE '!D15:D5000,"&gt;=10/01/2020",'CLIENT ENROLLMENT DISCHARGE '!D15:D5000,"&lt;=10/31/2020",OCT!H15:H5000,"Other (Specify) ")</f>
        <v>0</v>
      </c>
      <c r="S69" s="715"/>
      <c r="T69" s="715">
        <f>COUNTIFS('CLIENT ENROLLMENT DISCHARGE '!D15:D5000,"&gt;=11/01/2020",'CLIENT ENROLLMENT DISCHARGE '!D15:D5000,"&lt;=11/30/2020",NOV!H15:H5000,"Other (Specify) ")</f>
        <v>0</v>
      </c>
      <c r="U69" s="715"/>
      <c r="V69" s="715" t="e">
        <f>COUNTIFS('CLIENT ENROLLMENT DISCHARGE '!D15:D5000,"&gt;=12/01/2020",'CLIENT ENROLLMENT DISCHARGE '!D15:D5000,"&lt;=12/31/2020",DEC!H15:H4999,"Other (Specify) ")</f>
        <v>#VALUE!</v>
      </c>
      <c r="W69" s="715"/>
      <c r="X69" s="715">
        <f>COUNTIFS('CLIENT ENROLLMENT DISCHARGE '!D15:D5000,"&gt;=01/01/2021",'CLIENT ENROLLMENT DISCHARGE '!D15:D5000,"&lt;=01/31/2021",JAN!H15:H5000,"Other (Specify) ")</f>
        <v>0</v>
      </c>
      <c r="Y69" s="715"/>
      <c r="Z69" s="715">
        <f>COUNTIFS('CLIENT ENROLLMENT DISCHARGE '!D15:D5000,"&gt;=02/01/2021",'CLIENT ENROLLMENT DISCHARGE '!D15:D5000,"&lt;=02/28/2021",FEB!H15:H5000,"Other (Specify) ")</f>
        <v>0</v>
      </c>
      <c r="AA69" s="715"/>
      <c r="AB69" s="715">
        <f>COUNTIFS('CLIENT ENROLLMENT DISCHARGE '!D15:D5000,"&gt;=03/01/2021",'CLIENT ENROLLMENT DISCHARGE '!D15:D5000,"&lt;=03/31/2021",MAR!H15:H5000,"Other (Specify) ")</f>
        <v>0</v>
      </c>
      <c r="AC69" s="715"/>
      <c r="AD69" s="715">
        <f>COUNTIFS('CLIENT ENROLLMENT DISCHARGE '!D15:D5000,"&gt;=04/01/2021",'CLIENT ENROLLMENT DISCHARGE '!D15:D5000,"&lt;=04/30/2021",APR!H15:H5000,"Other (Specify) ")</f>
        <v>0</v>
      </c>
      <c r="AE69" s="715"/>
      <c r="AF69" s="715">
        <f>COUNTIFS('CLIENT ENROLLMENT DISCHARGE '!D15:D5000,"&gt;=05/01/2021",'CLIENT ENROLLMENT DISCHARGE '!D15:D5000,"&lt;=05/31/2021",MAY!H15:H5000,"Other (Specify) ")</f>
        <v>0</v>
      </c>
      <c r="AG69" s="715"/>
      <c r="AH69" s="715">
        <f>COUNTIFS('CLIENT ENROLLMENT DISCHARGE '!D15:D5000,"&gt;=06/01/2021",'CLIENT ENROLLMENT DISCHARGE '!D15:D5000,"&lt;=06/30/2021",JUNE!H15:H5000,"Other (Specify) ")</f>
        <v>0</v>
      </c>
      <c r="AI69" s="715"/>
      <c r="AJ69" s="529" t="e">
        <f>SUM(J69:AH69)</f>
        <v>#VALUE!</v>
      </c>
      <c r="AK69" s="607"/>
      <c r="AL69" s="530"/>
    </row>
    <row r="70" spans="1:38" ht="30" customHeight="1" x14ac:dyDescent="0.25">
      <c r="A70" s="608" t="s">
        <v>195</v>
      </c>
      <c r="B70" s="609"/>
      <c r="C70" s="609"/>
      <c r="D70" s="609"/>
      <c r="E70" s="609"/>
      <c r="F70" s="609"/>
      <c r="G70" s="609"/>
      <c r="H70" s="609"/>
      <c r="I70" s="609"/>
      <c r="J70" s="655"/>
      <c r="K70" s="656"/>
      <c r="L70" s="764">
        <f>SUM(L67:L69)</f>
        <v>0</v>
      </c>
      <c r="M70" s="765"/>
      <c r="N70" s="764">
        <f>SUM(N67:N69)</f>
        <v>0</v>
      </c>
      <c r="O70" s="765"/>
      <c r="P70" s="764">
        <f>SUM(P67:P69)</f>
        <v>0</v>
      </c>
      <c r="Q70" s="765"/>
      <c r="R70" s="764">
        <f>SUM(R67:R69)</f>
        <v>0</v>
      </c>
      <c r="S70" s="765"/>
      <c r="T70" s="764">
        <f>SUM(T67:T69)</f>
        <v>0</v>
      </c>
      <c r="U70" s="765"/>
      <c r="V70" s="764" t="e">
        <f>SUM(V67:V69)</f>
        <v>#VALUE!</v>
      </c>
      <c r="W70" s="765"/>
      <c r="X70" s="764">
        <f>SUM(X67:X69)</f>
        <v>0</v>
      </c>
      <c r="Y70" s="765"/>
      <c r="Z70" s="764">
        <f>SUM(Z67:Z69)</f>
        <v>0</v>
      </c>
      <c r="AA70" s="765"/>
      <c r="AB70" s="764">
        <f>SUM(AB67:AB69)</f>
        <v>0</v>
      </c>
      <c r="AC70" s="765"/>
      <c r="AD70" s="764">
        <f>SUM(AD67:AD69)</f>
        <v>0</v>
      </c>
      <c r="AE70" s="765"/>
      <c r="AF70" s="764">
        <f>SUM(AF67:AF69)</f>
        <v>0</v>
      </c>
      <c r="AG70" s="765"/>
      <c r="AH70" s="764">
        <f>SUM(AH67:AH69)</f>
        <v>0</v>
      </c>
      <c r="AI70" s="765"/>
      <c r="AJ70" s="766" t="e">
        <f>SUM(AJ67:AJ69)</f>
        <v>#VALUE!</v>
      </c>
      <c r="AK70" s="767"/>
      <c r="AL70" s="768"/>
    </row>
    <row r="71" spans="1:38" ht="30" customHeight="1" x14ac:dyDescent="0.25">
      <c r="A71" s="555" t="s">
        <v>196</v>
      </c>
      <c r="B71" s="556"/>
      <c r="C71" s="556"/>
      <c r="D71" s="556"/>
      <c r="E71" s="556"/>
      <c r="F71" s="556"/>
      <c r="G71" s="556"/>
      <c r="H71" s="556"/>
      <c r="I71" s="556"/>
      <c r="J71" s="519"/>
      <c r="K71" s="520"/>
      <c r="L71" s="601" t="s">
        <v>153</v>
      </c>
      <c r="M71" s="601"/>
      <c r="N71" s="601" t="s">
        <v>154</v>
      </c>
      <c r="O71" s="601"/>
      <c r="P71" s="601" t="s">
        <v>155</v>
      </c>
      <c r="Q71" s="601"/>
      <c r="R71" s="601" t="s">
        <v>156</v>
      </c>
      <c r="S71" s="601"/>
      <c r="T71" s="601" t="s">
        <v>157</v>
      </c>
      <c r="U71" s="601"/>
      <c r="V71" s="601" t="s">
        <v>158</v>
      </c>
      <c r="W71" s="601"/>
      <c r="X71" s="601" t="s">
        <v>159</v>
      </c>
      <c r="Y71" s="601"/>
      <c r="Z71" s="601" t="s">
        <v>160</v>
      </c>
      <c r="AA71" s="601"/>
      <c r="AB71" s="601" t="s">
        <v>161</v>
      </c>
      <c r="AC71" s="601"/>
      <c r="AD71" s="601" t="s">
        <v>162</v>
      </c>
      <c r="AE71" s="601"/>
      <c r="AF71" s="601" t="s">
        <v>163</v>
      </c>
      <c r="AG71" s="601"/>
      <c r="AH71" s="601" t="s">
        <v>164</v>
      </c>
      <c r="AI71" s="601"/>
      <c r="AJ71" s="601" t="s">
        <v>165</v>
      </c>
      <c r="AK71" s="601"/>
      <c r="AL71" s="601"/>
    </row>
    <row r="72" spans="1:38" ht="20.100000000000001" customHeight="1" x14ac:dyDescent="0.25">
      <c r="A72" s="547" t="s">
        <v>52</v>
      </c>
      <c r="B72" s="548"/>
      <c r="C72" s="548"/>
      <c r="D72" s="548"/>
      <c r="E72" s="548"/>
      <c r="F72" s="548"/>
      <c r="G72" s="548"/>
      <c r="H72" s="548"/>
      <c r="I72" s="548"/>
      <c r="J72" s="516"/>
      <c r="K72" s="517"/>
      <c r="L72" s="763">
        <f>COUNTIFS('CLIENT ENROLLMENT DISCHARGE '!D15:D5000,"&gt;=07/01/2000",'CLIENT ENROLLMENT DISCHARGE '!D15:D5000,"&lt;=07/31/2020",JULY!L16:L5001,"YES")</f>
        <v>0</v>
      </c>
      <c r="M72" s="763"/>
      <c r="N72" s="763">
        <f>COUNTIFS('CLIENT ENROLLMENT DISCHARGE '!D15:D5000,"&gt;=08/01/2020",'CLIENT ENROLLMENT DISCHARGE '!D15:D5000,"&lt;=08/31/2020",AUG!L15:L5000,"YES")</f>
        <v>0</v>
      </c>
      <c r="O72" s="763"/>
      <c r="P72" s="763">
        <f>COUNTIFS('CLIENT ENROLLMENT DISCHARGE '!D15:D5000,"&gt;=09/01/2020",'CLIENT ENROLLMENT DISCHARGE '!D15:D5000,"&lt;=09/30/2020",SEPT!L15:L5000,"YES")</f>
        <v>0</v>
      </c>
      <c r="Q72" s="763"/>
      <c r="R72" s="763">
        <f>COUNTIFS('CLIENT ENROLLMENT DISCHARGE '!D15:D5000,"&gt;=10/01/2020",'CLIENT ENROLLMENT DISCHARGE '!D15:D5000,"&lt;=10/31/2020",OCT!L15:L5000,"YES")</f>
        <v>0</v>
      </c>
      <c r="S72" s="763"/>
      <c r="T72" s="763">
        <f>COUNTIFS('CLIENT ENROLLMENT DISCHARGE '!D15:D5000,"&gt;=11/01/2020",'CLIENT ENROLLMENT DISCHARGE '!D15:D5000,"&lt;=11/30/2020",NOV!L15:L5000,"YES")</f>
        <v>0</v>
      </c>
      <c r="U72" s="763"/>
      <c r="V72" s="763" t="e">
        <f>COUNTIFS('CLIENT ENROLLMENT DISCHARGE '!D15:D5000,"&gt;=12/01/2020",'CLIENT ENROLLMENT DISCHARGE '!D15:D5000,"&lt;=12/31/2020",DEC!L15:L4999,"YES")</f>
        <v>#VALUE!</v>
      </c>
      <c r="W72" s="763"/>
      <c r="X72" s="763">
        <f>COUNTIFS('CLIENT ENROLLMENT DISCHARGE '!D15:D5000,"&gt;=01/01/2021",'CLIENT ENROLLMENT DISCHARGE '!D15:D5000,"&lt;=01/31/2021",JAN!L15:L5000,"YES")</f>
        <v>0</v>
      </c>
      <c r="Y72" s="763"/>
      <c r="Z72" s="763">
        <f>COUNTIFS('CLIENT ENROLLMENT DISCHARGE '!D15:D5000,"&gt;=02/01/2021",'CLIENT ENROLLMENT DISCHARGE '!D15:D5000,"&lt;=02/28/2021",FEB!L15:L5000,"YES")</f>
        <v>0</v>
      </c>
      <c r="AA72" s="763"/>
      <c r="AB72" s="763">
        <f>COUNTIFS('CLIENT ENROLLMENT DISCHARGE '!D15:D5000,"&gt;=03/01/2021",'CLIENT ENROLLMENT DISCHARGE '!D15:D5000,"&lt;=03/31/2021",MAR!L15:L5000,"YES")</f>
        <v>0</v>
      </c>
      <c r="AC72" s="763"/>
      <c r="AD72" s="763">
        <f>COUNTIFS('CLIENT ENROLLMENT DISCHARGE '!D15:D5000,"&gt;=04/01/2021",'CLIENT ENROLLMENT DISCHARGE '!D15:D5000,"&lt;=04/30/2021",APR!L15:L5000,"YES")</f>
        <v>0</v>
      </c>
      <c r="AE72" s="763"/>
      <c r="AF72" s="763">
        <f>COUNTIFS('CLIENT ENROLLMENT DISCHARGE '!D15:D5000,"&gt;=05/01/2021",'CLIENT ENROLLMENT DISCHARGE '!D15:D5000,"&lt;=05/31/2021",MAY!L15:L5000,"YES")</f>
        <v>0</v>
      </c>
      <c r="AG72" s="763"/>
      <c r="AH72" s="763">
        <f>COUNTIFS('CLIENT ENROLLMENT DISCHARGE '!D15:D5000,"&gt;=06/01/2021",'CLIENT ENROLLMENT DISCHARGE '!D15:D5000,"&lt;=06/30/2021",JUNE!L15:L5000,"YES")</f>
        <v>0</v>
      </c>
      <c r="AI72" s="763"/>
      <c r="AJ72" s="760" t="e">
        <f>SUM(J72:AH72)</f>
        <v>#VALUE!</v>
      </c>
      <c r="AK72" s="761"/>
      <c r="AL72" s="762"/>
    </row>
    <row r="73" spans="1:38" ht="20.100000000000001" customHeight="1" x14ac:dyDescent="0.25">
      <c r="A73" s="547" t="s">
        <v>43</v>
      </c>
      <c r="B73" s="548"/>
      <c r="C73" s="548"/>
      <c r="D73" s="548"/>
      <c r="E73" s="548"/>
      <c r="F73" s="548"/>
      <c r="G73" s="548"/>
      <c r="H73" s="548"/>
      <c r="I73" s="548"/>
      <c r="J73" s="516"/>
      <c r="K73" s="517"/>
      <c r="L73" s="763">
        <f>COUNTIFS('CLIENT ENROLLMENT DISCHARGE '!D15:D5000,"&gt;=07/01/2000",'CLIENT ENROLLMENT DISCHARGE '!D15:D5000,"&lt;=07/31/2020",JULY!L16:L5001,"NO")</f>
        <v>0</v>
      </c>
      <c r="M73" s="763"/>
      <c r="N73" s="763">
        <f>COUNTIFS('CLIENT ENROLLMENT DISCHARGE '!D15:D5000,"&gt;=08/01/2020",'CLIENT ENROLLMENT DISCHARGE '!D15:D5000,"&lt;=08/31/2020",AUG!L15:L5000,"NO")</f>
        <v>0</v>
      </c>
      <c r="O73" s="763"/>
      <c r="P73" s="763">
        <f>COUNTIFS('CLIENT ENROLLMENT DISCHARGE '!D15:D5000,"&gt;=09/01/2020",'CLIENT ENROLLMENT DISCHARGE '!D15:D5000,"&lt;=09/30/2020",SEPT!L15:L5000,"NO")</f>
        <v>0</v>
      </c>
      <c r="Q73" s="763"/>
      <c r="R73" s="763">
        <f>COUNTIFS('CLIENT ENROLLMENT DISCHARGE '!D15:D5000,"&gt;=10/01/2020",'CLIENT ENROLLMENT DISCHARGE '!D15:D5000,"&lt;=10/31/2020",OCT!L15:L5000,"NO")</f>
        <v>0</v>
      </c>
      <c r="S73" s="763"/>
      <c r="T73" s="763">
        <f>COUNTIFS('CLIENT ENROLLMENT DISCHARGE '!D15:D5000,"&gt;=11/01/2020",'CLIENT ENROLLMENT DISCHARGE '!D15:D5000,"&lt;=11/30/2020",NOV!L15:L5000,"NO")</f>
        <v>0</v>
      </c>
      <c r="U73" s="763"/>
      <c r="V73" s="763" t="e">
        <f>COUNTIFS('CLIENT ENROLLMENT DISCHARGE '!D15:D5000,"&gt;=12/01/2020",'CLIENT ENROLLMENT DISCHARGE '!D15:D5000,"&lt;=12/31/2020",DEC!L15:L4999,"NO")</f>
        <v>#VALUE!</v>
      </c>
      <c r="W73" s="763"/>
      <c r="X73" s="763">
        <f>COUNTIFS('CLIENT ENROLLMENT DISCHARGE '!D15:D5000,"&gt;=01/01/2021",'CLIENT ENROLLMENT DISCHARGE '!D15:D5000,"&lt;=01/31/2021",JAN!L15:L5000,"NO")</f>
        <v>0</v>
      </c>
      <c r="Y73" s="763"/>
      <c r="Z73" s="763">
        <f>COUNTIFS('CLIENT ENROLLMENT DISCHARGE '!D15:D5000,"&gt;=02/01/2021",'CLIENT ENROLLMENT DISCHARGE '!D15:D5000,"&lt;=02/28/2021",FEB!L15:L5000,"NO")</f>
        <v>0</v>
      </c>
      <c r="AA73" s="763"/>
      <c r="AB73" s="763">
        <f>COUNTIFS('CLIENT ENROLLMENT DISCHARGE '!D15:D5000,"&gt;=03/01/2021",'CLIENT ENROLLMENT DISCHARGE '!D15:D5000,"&lt;=03/31/2021",MAR!L15:L5000,"NO")</f>
        <v>0</v>
      </c>
      <c r="AC73" s="763"/>
      <c r="AD73" s="763">
        <f>COUNTIFS('CLIENT ENROLLMENT DISCHARGE '!D15:D5000,"&gt;=04/01/2021",'CLIENT ENROLLMENT DISCHARGE '!D15:D5000,"&lt;=04/30/2021",APR!L15:L5000,"NO")</f>
        <v>0</v>
      </c>
      <c r="AE73" s="763"/>
      <c r="AF73" s="763">
        <f>COUNTIFS('CLIENT ENROLLMENT DISCHARGE '!D15:D5000,"&gt;=05/01/2021",'CLIENT ENROLLMENT DISCHARGE '!D15:D5000,"&lt;=05/31/2021",MAY!L15:L5000,"NO")</f>
        <v>0</v>
      </c>
      <c r="AG73" s="763"/>
      <c r="AH73" s="763">
        <f>COUNTIFS('CLIENT ENROLLMENT DISCHARGE '!D15:D5000,"&gt;=06/01/2021",'CLIENT ENROLLMENT DISCHARGE '!D15:D5000,"&lt;=06/30/2021",JUNE!L15:L5000,"NO")</f>
        <v>0</v>
      </c>
      <c r="AI73" s="763"/>
      <c r="AJ73" s="760" t="e">
        <f>SUM(J73:AH73)</f>
        <v>#VALUE!</v>
      </c>
      <c r="AK73" s="761"/>
      <c r="AL73" s="762"/>
    </row>
    <row r="74" spans="1:38" ht="30" customHeight="1" x14ac:dyDescent="0.25">
      <c r="A74" s="545" t="s">
        <v>197</v>
      </c>
      <c r="B74" s="546"/>
      <c r="C74" s="546"/>
      <c r="D74" s="546"/>
      <c r="E74" s="546"/>
      <c r="F74" s="546"/>
      <c r="G74" s="546"/>
      <c r="H74" s="546"/>
      <c r="I74" s="546"/>
      <c r="J74" s="553"/>
      <c r="K74" s="554"/>
      <c r="L74" s="755">
        <f>SUM(L72:L73)</f>
        <v>0</v>
      </c>
      <c r="M74" s="756"/>
      <c r="N74" s="755">
        <f>SUM(N72:N73)</f>
        <v>0</v>
      </c>
      <c r="O74" s="756"/>
      <c r="P74" s="755">
        <f>SUM(P72:P73)</f>
        <v>0</v>
      </c>
      <c r="Q74" s="756"/>
      <c r="R74" s="755">
        <f>SUM(R72:R73)</f>
        <v>0</v>
      </c>
      <c r="S74" s="756"/>
      <c r="T74" s="755">
        <f>SUM(T72:T73)</f>
        <v>0</v>
      </c>
      <c r="U74" s="756"/>
      <c r="V74" s="755" t="e">
        <f>SUM(V72:V73)</f>
        <v>#VALUE!</v>
      </c>
      <c r="W74" s="756"/>
      <c r="X74" s="755">
        <f>SUM(X72:X73)</f>
        <v>0</v>
      </c>
      <c r="Y74" s="756"/>
      <c r="Z74" s="755">
        <f>SUM(Z72:Z73)</f>
        <v>0</v>
      </c>
      <c r="AA74" s="756"/>
      <c r="AB74" s="755">
        <f>SUM(AB72:AB73)</f>
        <v>0</v>
      </c>
      <c r="AC74" s="756"/>
      <c r="AD74" s="755">
        <f>SUM(AD72:AD73)</f>
        <v>0</v>
      </c>
      <c r="AE74" s="756"/>
      <c r="AF74" s="755">
        <f>SUM(AF72:AF73)</f>
        <v>0</v>
      </c>
      <c r="AG74" s="756"/>
      <c r="AH74" s="755">
        <f>SUM(AH72:AH73)</f>
        <v>0</v>
      </c>
      <c r="AI74" s="756"/>
      <c r="AJ74" s="757" t="e">
        <f>SUM(AJ72:AJ73)</f>
        <v>#VALUE!</v>
      </c>
      <c r="AK74" s="758"/>
      <c r="AL74" s="759"/>
    </row>
    <row r="75" spans="1:38" ht="30" customHeight="1" x14ac:dyDescent="0.25">
      <c r="A75" s="501" t="s">
        <v>198</v>
      </c>
      <c r="B75" s="502"/>
      <c r="C75" s="502"/>
      <c r="D75" s="502"/>
      <c r="E75" s="502"/>
      <c r="F75" s="502"/>
      <c r="G75" s="502"/>
      <c r="H75" s="502"/>
      <c r="I75" s="502"/>
      <c r="J75" s="519"/>
      <c r="K75" s="520"/>
      <c r="L75" s="754" t="s">
        <v>153</v>
      </c>
      <c r="M75" s="754"/>
      <c r="N75" s="754" t="s">
        <v>154</v>
      </c>
      <c r="O75" s="754"/>
      <c r="P75" s="754" t="s">
        <v>155</v>
      </c>
      <c r="Q75" s="754"/>
      <c r="R75" s="754" t="s">
        <v>156</v>
      </c>
      <c r="S75" s="754"/>
      <c r="T75" s="754" t="s">
        <v>157</v>
      </c>
      <c r="U75" s="754"/>
      <c r="V75" s="754" t="s">
        <v>158</v>
      </c>
      <c r="W75" s="754"/>
      <c r="X75" s="754" t="s">
        <v>159</v>
      </c>
      <c r="Y75" s="754"/>
      <c r="Z75" s="754" t="s">
        <v>160</v>
      </c>
      <c r="AA75" s="754"/>
      <c r="AB75" s="754" t="s">
        <v>161</v>
      </c>
      <c r="AC75" s="754"/>
      <c r="AD75" s="754" t="s">
        <v>162</v>
      </c>
      <c r="AE75" s="754"/>
      <c r="AF75" s="754" t="s">
        <v>163</v>
      </c>
      <c r="AG75" s="754"/>
      <c r="AH75" s="754" t="s">
        <v>164</v>
      </c>
      <c r="AI75" s="754"/>
      <c r="AJ75" s="754" t="s">
        <v>165</v>
      </c>
      <c r="AK75" s="754"/>
      <c r="AL75" s="754"/>
    </row>
    <row r="76" spans="1:38" ht="20.100000000000001" customHeight="1" x14ac:dyDescent="0.25">
      <c r="A76" s="543" t="s">
        <v>219</v>
      </c>
      <c r="B76" s="544"/>
      <c r="C76" s="544"/>
      <c r="D76" s="544"/>
      <c r="E76" s="544"/>
      <c r="F76" s="544"/>
      <c r="G76" s="544"/>
      <c r="H76" s="544"/>
      <c r="I76" s="544"/>
      <c r="J76" s="516"/>
      <c r="K76" s="517"/>
      <c r="L76" s="678">
        <f>SUMIF(JULY!M16:M5001,"&gt;=1")</f>
        <v>0</v>
      </c>
      <c r="M76" s="679"/>
      <c r="N76" s="678">
        <f>SUMIF(AUG!M15:M5000,"&gt;=1")</f>
        <v>0</v>
      </c>
      <c r="O76" s="679"/>
      <c r="P76" s="678">
        <f>SUMIF(SEPT!M15:M5000,"&gt;=1")</f>
        <v>0</v>
      </c>
      <c r="Q76" s="679"/>
      <c r="R76" s="678">
        <f>SUMIF(OCT!M15:M5000,"&gt;=1")</f>
        <v>0</v>
      </c>
      <c r="S76" s="679"/>
      <c r="T76" s="678">
        <f>SUMIF(NOV!M15:M5000,"&gt;=1")</f>
        <v>0</v>
      </c>
      <c r="U76" s="679"/>
      <c r="V76" s="678">
        <f>SUMIF(DEC!M15:M4999,"&gt;=1")</f>
        <v>0</v>
      </c>
      <c r="W76" s="679"/>
      <c r="X76" s="707">
        <f>SUMIF(JAN!M15:M5000,"&gt;=1")</f>
        <v>0</v>
      </c>
      <c r="Y76" s="707"/>
      <c r="Z76" s="707">
        <f>SUMIF(FEB!M15:M5000,"&gt;=1")</f>
        <v>0</v>
      </c>
      <c r="AA76" s="707"/>
      <c r="AB76" s="707">
        <f>SUMIF(MAR!M15:M5000,"&gt;=1")</f>
        <v>0</v>
      </c>
      <c r="AC76" s="707"/>
      <c r="AD76" s="707">
        <f>SUMIF(APR!M15:M5000,"&gt;=1")</f>
        <v>0</v>
      </c>
      <c r="AE76" s="707"/>
      <c r="AF76" s="707">
        <f>SUMIF(MAY!M15:M5000,"&gt;=1")</f>
        <v>0</v>
      </c>
      <c r="AG76" s="707"/>
      <c r="AH76" s="707">
        <f>SUMIF(JUNE!M15:M5000,"&gt;=1")</f>
        <v>0</v>
      </c>
      <c r="AI76" s="707"/>
      <c r="AJ76" s="678">
        <f>SUM(J76:AH76)</f>
        <v>0</v>
      </c>
      <c r="AK76" s="708"/>
      <c r="AL76" s="679"/>
    </row>
    <row r="77" spans="1:38" ht="20.100000000000001" customHeight="1" x14ac:dyDescent="0.25">
      <c r="A77" s="543" t="s">
        <v>220</v>
      </c>
      <c r="B77" s="544"/>
      <c r="C77" s="544"/>
      <c r="D77" s="544"/>
      <c r="E77" s="544"/>
      <c r="F77" s="544"/>
      <c r="G77" s="544"/>
      <c r="H77" s="544"/>
      <c r="I77" s="544"/>
      <c r="J77" s="516"/>
      <c r="K77" s="517"/>
      <c r="L77" s="678">
        <f>SUMIF(JULY!N16:N5001,"&gt;=1")</f>
        <v>0</v>
      </c>
      <c r="M77" s="679"/>
      <c r="N77" s="678">
        <f>SUMIF(AUG!N15:N5000,"&gt;=1")</f>
        <v>0</v>
      </c>
      <c r="O77" s="679"/>
      <c r="P77" s="678">
        <f>SUMIF(SEPT!N15:N5000,"&gt;=1")</f>
        <v>0</v>
      </c>
      <c r="Q77" s="679"/>
      <c r="R77" s="678">
        <f>SUMIF(OCT!N15:N5000,"&gt;=1")</f>
        <v>0</v>
      </c>
      <c r="S77" s="679"/>
      <c r="T77" s="678">
        <f>SUMIF(NOV!N15:N5000,"&gt;=1")</f>
        <v>0</v>
      </c>
      <c r="U77" s="679"/>
      <c r="V77" s="678">
        <f>SUMIF(DEC!N15:N4999,"&gt;=1")</f>
        <v>0</v>
      </c>
      <c r="W77" s="679"/>
      <c r="X77" s="707">
        <f>SUMIF(JAN!N15:N5000,"&gt;=1")</f>
        <v>0</v>
      </c>
      <c r="Y77" s="707"/>
      <c r="Z77" s="707">
        <f>SUMIF(FEB!N15:N5000,"&gt;=1")</f>
        <v>0</v>
      </c>
      <c r="AA77" s="707"/>
      <c r="AB77" s="707">
        <f>SUMIF(MAR!N15:N5000,"&gt;=1")</f>
        <v>0</v>
      </c>
      <c r="AC77" s="707"/>
      <c r="AD77" s="707">
        <f>SUMIF(APR!N15:N5000,"&gt;=1")</f>
        <v>0</v>
      </c>
      <c r="AE77" s="707"/>
      <c r="AF77" s="707">
        <f>SUMIF(MAY!N15:N5000,"&gt;=1")</f>
        <v>0</v>
      </c>
      <c r="AG77" s="707"/>
      <c r="AH77" s="707">
        <f>SUMIF(JUNE!N15:N5000,"&gt;=1")</f>
        <v>0</v>
      </c>
      <c r="AI77" s="707"/>
      <c r="AJ77" s="678">
        <f>SUM(J77:AH77)</f>
        <v>0</v>
      </c>
      <c r="AK77" s="708"/>
      <c r="AL77" s="679"/>
    </row>
    <row r="78" spans="1:38" ht="30" customHeight="1" x14ac:dyDescent="0.25">
      <c r="A78" s="551" t="s">
        <v>199</v>
      </c>
      <c r="B78" s="552"/>
      <c r="C78" s="552"/>
      <c r="D78" s="552"/>
      <c r="E78" s="552"/>
      <c r="F78" s="552"/>
      <c r="G78" s="552"/>
      <c r="H78" s="552"/>
      <c r="I78" s="552"/>
      <c r="J78" s="519"/>
      <c r="K78" s="520"/>
      <c r="L78" s="753" t="s">
        <v>153</v>
      </c>
      <c r="M78" s="753"/>
      <c r="N78" s="753" t="s">
        <v>154</v>
      </c>
      <c r="O78" s="753"/>
      <c r="P78" s="753" t="s">
        <v>155</v>
      </c>
      <c r="Q78" s="753"/>
      <c r="R78" s="753" t="s">
        <v>156</v>
      </c>
      <c r="S78" s="753"/>
      <c r="T78" s="753" t="s">
        <v>157</v>
      </c>
      <c r="U78" s="753"/>
      <c r="V78" s="753" t="s">
        <v>158</v>
      </c>
      <c r="W78" s="753"/>
      <c r="X78" s="753" t="s">
        <v>159</v>
      </c>
      <c r="Y78" s="753"/>
      <c r="Z78" s="753" t="s">
        <v>160</v>
      </c>
      <c r="AA78" s="753"/>
      <c r="AB78" s="753" t="s">
        <v>161</v>
      </c>
      <c r="AC78" s="753"/>
      <c r="AD78" s="753" t="s">
        <v>162</v>
      </c>
      <c r="AE78" s="753"/>
      <c r="AF78" s="753" t="s">
        <v>163</v>
      </c>
      <c r="AG78" s="753"/>
      <c r="AH78" s="753" t="s">
        <v>164</v>
      </c>
      <c r="AI78" s="753"/>
      <c r="AJ78" s="753" t="s">
        <v>165</v>
      </c>
      <c r="AK78" s="753"/>
      <c r="AL78" s="753"/>
    </row>
    <row r="79" spans="1:38" ht="20.100000000000001" customHeight="1" x14ac:dyDescent="0.25">
      <c r="A79" s="549" t="s">
        <v>86</v>
      </c>
      <c r="B79" s="550"/>
      <c r="C79" s="550"/>
      <c r="D79" s="550"/>
      <c r="E79" s="550"/>
      <c r="F79" s="550"/>
      <c r="G79" s="550"/>
      <c r="H79" s="550"/>
      <c r="I79" s="550"/>
      <c r="J79" s="516"/>
      <c r="K79" s="517"/>
      <c r="L79" s="749">
        <f>COUNTIFS('CLIENT ENROLLMENT DISCHARGE '!D15:D5000,"&gt;=07/01/2000",'CLIENT ENROLLMENT DISCHARGE '!D15:D5000,"&lt;=07/31/2020",JULY!Q16:Q5001,"No Work Available")</f>
        <v>0</v>
      </c>
      <c r="M79" s="751"/>
      <c r="N79" s="749">
        <f>COUNTIFS('CLIENT ENROLLMENT DISCHARGE '!D15:D5000,"&gt;=08/01/2020",'CLIENT ENROLLMENT DISCHARGE '!D15:D5000,"&lt;=08/31/2020",JULY!Q16:Q5001,"No Work Available")</f>
        <v>0</v>
      </c>
      <c r="O79" s="751"/>
      <c r="P79" s="749">
        <f>COUNTIFS('CLIENT ENROLLMENT DISCHARGE '!D15:D5000,"&gt;=09/01/2020",'CLIENT ENROLLMENT DISCHARGE '!D15:D5000,"&lt;=09/30/2020",JULY!Q16:Q5001,"No Work Available")</f>
        <v>0</v>
      </c>
      <c r="Q79" s="751"/>
      <c r="R79" s="749">
        <f>COUNTIFS('CLIENT ENROLLMENT DISCHARGE '!D15:D5000,"&gt;=10/01/2020",'CLIENT ENROLLMENT DISCHARGE '!D15:D5000,"&lt;=10/31/2020",JULY!Q16:Q5001,"No Work Available")</f>
        <v>0</v>
      </c>
      <c r="S79" s="751"/>
      <c r="T79" s="749">
        <f>COUNTIFS('CLIENT ENROLLMENT DISCHARGE '!D15:D5000,"&gt;=11/01/2020",'CLIENT ENROLLMENT DISCHARGE '!D15:D5000,"&lt;=11/30/2020",JULY!Q16:Q5001,"No Work Available")</f>
        <v>0</v>
      </c>
      <c r="U79" s="751"/>
      <c r="V79" s="749">
        <f>COUNTIFS('CLIENT ENROLLMENT DISCHARGE '!D15:D5000,"&gt;=12/01/2020",'CLIENT ENROLLMENT DISCHARGE '!D15:D5000,"&lt;=12/31/2020",JULY!Q16:Q5001,"No Work Available")</f>
        <v>0</v>
      </c>
      <c r="W79" s="751"/>
      <c r="X79" s="752">
        <f>COUNTIFS('CLIENT ENROLLMENT DISCHARGE '!D15:D5000,"&gt;=01/01/2021",'CLIENT ENROLLMENT DISCHARGE '!D15:D5000,"&lt;=01/31/2021",JULY!Q16:Q5001,"No Work Available")</f>
        <v>0</v>
      </c>
      <c r="Y79" s="752"/>
      <c r="Z79" s="752">
        <f>COUNTIFS('CLIENT ENROLLMENT DISCHARGE '!D15:D5000,"&gt;=02/01/2021",'CLIENT ENROLLMENT DISCHARGE '!D15:D5000,"&lt;=02/28/2021",JULY!Q16:Q5001,"No Work Available")</f>
        <v>0</v>
      </c>
      <c r="AA79" s="752"/>
      <c r="AB79" s="752">
        <f>COUNTIFS('CLIENT ENROLLMENT DISCHARGE '!D15:D5000,"&gt;=03/01/2021",'CLIENT ENROLLMENT DISCHARGE '!D15:D5000,"&lt;=03/31/2021",JULY!Q16:Q5001,"No Work Available")</f>
        <v>0</v>
      </c>
      <c r="AC79" s="752"/>
      <c r="AD79" s="752">
        <f>COUNTIFS('CLIENT ENROLLMENT DISCHARGE '!D15:D5000,"&gt;=04/01/2021",'CLIENT ENROLLMENT DISCHARGE '!D15:D5000,"&lt;=04/30/2021",JULY!Q16:Q5001,"No Work Available")</f>
        <v>0</v>
      </c>
      <c r="AE79" s="752"/>
      <c r="AF79" s="752">
        <f>COUNTIFS('CLIENT ENROLLMENT DISCHARGE '!D15:D5000,"&gt;=05/01/2021",'CLIENT ENROLLMENT DISCHARGE '!D15:D5000,"&lt;=05/31/2021",JULY!Q16:Q5001,"No Work Available")</f>
        <v>0</v>
      </c>
      <c r="AG79" s="752"/>
      <c r="AH79" s="752">
        <f>COUNTIFS('CLIENT ENROLLMENT DISCHARGE '!D15:D5000,"&gt;=06/01/2021",'CLIENT ENROLLMENT DISCHARGE '!D15:D5000,"&lt;=06/30/2021",JULY!Q16:Q5001,"No Work Available")</f>
        <v>0</v>
      </c>
      <c r="AI79" s="752"/>
      <c r="AJ79" s="749">
        <f>SUM(J79:AH79)</f>
        <v>0</v>
      </c>
      <c r="AK79" s="750"/>
      <c r="AL79" s="751"/>
    </row>
    <row r="80" spans="1:38" ht="20.100000000000001" customHeight="1" x14ac:dyDescent="0.25">
      <c r="A80" s="549" t="s">
        <v>200</v>
      </c>
      <c r="B80" s="550"/>
      <c r="C80" s="550"/>
      <c r="D80" s="550"/>
      <c r="E80" s="550"/>
      <c r="F80" s="550"/>
      <c r="G80" s="550"/>
      <c r="H80" s="550"/>
      <c r="I80" s="550"/>
      <c r="J80" s="516"/>
      <c r="K80" s="517"/>
      <c r="L80" s="749">
        <f>COUNTIFS('CLIENT ENROLLMENT DISCHARGE '!D15:D5000,"&gt;=07/01/2000",'CLIENT ENROLLMENT DISCHARGE '!D15:D5000,"&lt;=07/31/2020",JULY!Q16:Q5001,"Individual Sick")</f>
        <v>0</v>
      </c>
      <c r="M80" s="751"/>
      <c r="N80" s="749">
        <f>COUNTIFS('CLIENT ENROLLMENT DISCHARGE '!D15:D5000,"&gt;=08/01/2020",'CLIENT ENROLLMENT DISCHARGE '!D15:D5000,"&lt;=08/31/2020",JULY!Q16:Q5001,"Individual Sick")</f>
        <v>0</v>
      </c>
      <c r="O80" s="751"/>
      <c r="P80" s="749">
        <f>COUNTIFS('CLIENT ENROLLMENT DISCHARGE '!D15:D5000,"&gt;=09/01/2020",'CLIENT ENROLLMENT DISCHARGE '!D15:D5000,"&lt;=09/30/2020",JULY!Q16:Q5001,"Individual Sick")</f>
        <v>0</v>
      </c>
      <c r="Q80" s="751"/>
      <c r="R80" s="749">
        <f>COUNTIFS('CLIENT ENROLLMENT DISCHARGE '!D15:D5000,"&gt;=10/01/2020",'CLIENT ENROLLMENT DISCHARGE '!D15:D5000,"&lt;=10/31/2020",JULY!Q16:Q5001,"Individual Sick")</f>
        <v>0</v>
      </c>
      <c r="S80" s="751"/>
      <c r="T80" s="749">
        <f>COUNTIFS('CLIENT ENROLLMENT DISCHARGE '!D15:D5000,"&gt;=11/01/2020",'CLIENT ENROLLMENT DISCHARGE '!D15:D5000,"&lt;=11/30/2020",JULY!Q16:Q5001,"Individual Sick")</f>
        <v>0</v>
      </c>
      <c r="U80" s="751"/>
      <c r="V80" s="749">
        <f>COUNTIFS('CLIENT ENROLLMENT DISCHARGE '!D15:D5000,"&gt;=12/01/2020",'CLIENT ENROLLMENT DISCHARGE '!D15:D5000,"&lt;=12/31/2020",JULY!Q16:Q5001,"Individual Sick")</f>
        <v>0</v>
      </c>
      <c r="W80" s="751"/>
      <c r="X80" s="752">
        <f>COUNTIFS('CLIENT ENROLLMENT DISCHARGE '!D15:D5000,"&gt;=01/01/2021",'CLIENT ENROLLMENT DISCHARGE '!D15:D5000,"&lt;=01/31/2021",JULY!Q16:Q5001,"Individual Sick")</f>
        <v>0</v>
      </c>
      <c r="Y80" s="752"/>
      <c r="Z80" s="752">
        <f>COUNTIFS('CLIENT ENROLLMENT DISCHARGE '!D15:D5000,"&gt;=02/01/2021",'CLIENT ENROLLMENT DISCHARGE '!D15:D5000,"&lt;=02/28/2021",JULY!Q16:Q5001,"Individual Sick")</f>
        <v>0</v>
      </c>
      <c r="AA80" s="752"/>
      <c r="AB80" s="752">
        <f>COUNTIFS('CLIENT ENROLLMENT DISCHARGE '!D15:D5000,"&gt;=03/01/2021",'CLIENT ENROLLMENT DISCHARGE '!D15:D5000,"&lt;=03/31/2021",JULY!Q16:Q5001,"Individual Sick")</f>
        <v>0</v>
      </c>
      <c r="AC80" s="752"/>
      <c r="AD80" s="752">
        <f>COUNTIFS('CLIENT ENROLLMENT DISCHARGE '!D15:D5000,"&gt;=04/01/2021",'CLIENT ENROLLMENT DISCHARGE '!D15:D5000,"&lt;=04/30/2021",JULY!Q16:Q5001,"Individual Sick")</f>
        <v>0</v>
      </c>
      <c r="AE80" s="752"/>
      <c r="AF80" s="752">
        <f>COUNTIFS('CLIENT ENROLLMENT DISCHARGE '!D15:D5000,"&gt;=05/01/2021",'CLIENT ENROLLMENT DISCHARGE '!D15:D5000,"&lt;=05/31/2021",JULY!Q16:Q5001,"Individual Sick")</f>
        <v>0</v>
      </c>
      <c r="AG80" s="752"/>
      <c r="AH80" s="752">
        <f>COUNTIFS('CLIENT ENROLLMENT DISCHARGE '!D15:D5000,"&gt;=06/01/2021",'CLIENT ENROLLMENT DISCHARGE '!D15:D5000,"&lt;=06/30/2021",JULY!Q16:Q5001,"Individual Sick")</f>
        <v>0</v>
      </c>
      <c r="AI80" s="752"/>
      <c r="AJ80" s="749">
        <f>SUM(J80:AH80)</f>
        <v>0</v>
      </c>
      <c r="AK80" s="750"/>
      <c r="AL80" s="751"/>
    </row>
    <row r="81" spans="1:39" ht="20.100000000000001" customHeight="1" x14ac:dyDescent="0.25">
      <c r="A81" s="549" t="s">
        <v>90</v>
      </c>
      <c r="B81" s="550"/>
      <c r="C81" s="550"/>
      <c r="D81" s="550"/>
      <c r="E81" s="550"/>
      <c r="F81" s="550"/>
      <c r="G81" s="550"/>
      <c r="H81" s="550"/>
      <c r="I81" s="550"/>
      <c r="J81" s="516"/>
      <c r="K81" s="517"/>
      <c r="L81" s="749">
        <f>COUNTIFS('CLIENT ENROLLMENT DISCHARGE '!D15:D5000,"&gt;=07/01/2000",'CLIENT ENROLLMENT DISCHARGE '!D15:D5000,"&lt;=07/31/2020",JULY!Q16:Q5001,"Individual chose not to work ")</f>
        <v>0</v>
      </c>
      <c r="M81" s="751"/>
      <c r="N81" s="749">
        <f>COUNTIFS('CLIENT ENROLLMENT DISCHARGE '!D15:D5000,"&gt;=08/01/2020",'CLIENT ENROLLMENT DISCHARGE '!D15:D5000,"&lt;=08/31/2020",AUG!Q15:Q5000,"Individual chose not to work ")</f>
        <v>0</v>
      </c>
      <c r="O81" s="751"/>
      <c r="P81" s="749">
        <f>COUNTIFS('CLIENT ENROLLMENT DISCHARGE '!D15:D5000,"&gt;=09/01/2020",'CLIENT ENROLLMENT DISCHARGE '!D15:D5000,"&lt;=09/30/2020",SEPT!Q15:Q5000,"Individual chose not to work ")</f>
        <v>0</v>
      </c>
      <c r="Q81" s="751"/>
      <c r="R81" s="749">
        <f>COUNTIFS('CLIENT ENROLLMENT DISCHARGE '!D15:D5000,"&gt;=10/01/2020",'CLIENT ENROLLMENT DISCHARGE '!D15:D5000,"&lt;=10/31/2020",OCT!Q15:Q5000,"Individual chose not to work ")</f>
        <v>0</v>
      </c>
      <c r="S81" s="751"/>
      <c r="T81" s="749">
        <f>COUNTIFS('CLIENT ENROLLMENT DISCHARGE '!D15:D5000,"&gt;=11/01/2020",'CLIENT ENROLLMENT DISCHARGE '!D15:D5000,"&lt;=11/30/2020",NOV!Q15:Q5000,"Individual chose not to work ")</f>
        <v>0</v>
      </c>
      <c r="U81" s="751"/>
      <c r="V81" s="749" t="e">
        <f>COUNTIFS('CLIENT ENROLLMENT DISCHARGE '!D15:D5000,"&gt;=12/01/2020",'CLIENT ENROLLMENT DISCHARGE '!D15:D5000,"&lt;=12/31/2020",DEC!Q15:Q4999,"Individual chose not to work ")</f>
        <v>#VALUE!</v>
      </c>
      <c r="W81" s="751"/>
      <c r="X81" s="752">
        <f>COUNTIFS('CLIENT ENROLLMENT DISCHARGE '!D15:D5000,"&gt;=01/01/2021",'CLIENT ENROLLMENT DISCHARGE '!D15:D5000,"&lt;=01/31/2021",JAN!Q15:Q5000,"Individual chose not to work ")</f>
        <v>0</v>
      </c>
      <c r="Y81" s="752"/>
      <c r="Z81" s="752">
        <f>COUNTIFS('CLIENT ENROLLMENT DISCHARGE '!D15:D5000,"&gt;=02/01/2021",'CLIENT ENROLLMENT DISCHARGE '!D15:D5000,"&lt;=02/28/2021",FEB!Q15:Q5000,"Individual chose not to work ")</f>
        <v>0</v>
      </c>
      <c r="AA81" s="752"/>
      <c r="AB81" s="752">
        <f>COUNTIFS('CLIENT ENROLLMENT DISCHARGE '!D15:D5000,"&gt;=03/01/2021",'CLIENT ENROLLMENT DISCHARGE '!D15:D5000,"&lt;=03/31/2021",MAR!Q15:Q5000,"Individual chose not to work ")</f>
        <v>0</v>
      </c>
      <c r="AC81" s="752"/>
      <c r="AD81" s="752">
        <f>COUNTIFS('CLIENT ENROLLMENT DISCHARGE '!D15:D5000,"&gt;=04/01/2021",'CLIENT ENROLLMENT DISCHARGE '!D15:D5000,"&lt;=04/30/2021",APR!Q15:Q5000,"Individual chose not to work ")</f>
        <v>0</v>
      </c>
      <c r="AE81" s="752"/>
      <c r="AF81" s="752">
        <f>COUNTIFS('CLIENT ENROLLMENT DISCHARGE '!D15:D5000,"&gt;=05/01/2021",'CLIENT ENROLLMENT DISCHARGE '!D15:D5000,"&lt;=05/31/2021",MAY!Q15:Q5000,"Individual chose not to work ")</f>
        <v>0</v>
      </c>
      <c r="AG81" s="752"/>
      <c r="AH81" s="752">
        <f>COUNTIFS('CLIENT ENROLLMENT DISCHARGE '!D15:D5000,"&gt;=06/01/2021",'CLIENT ENROLLMENT DISCHARGE '!D15:D5000,"&lt;=06/30/2021",JUNE!Q15:Q5000,"Individual chose not to work ")</f>
        <v>0</v>
      </c>
      <c r="AI81" s="752"/>
      <c r="AJ81" s="749" t="e">
        <f>SUM(J81:AH81)</f>
        <v>#VALUE!</v>
      </c>
      <c r="AK81" s="750"/>
      <c r="AL81" s="751"/>
    </row>
    <row r="82" spans="1:39" ht="20.100000000000001" customHeight="1" x14ac:dyDescent="0.3">
      <c r="A82" s="537" t="s">
        <v>217</v>
      </c>
      <c r="B82" s="538"/>
      <c r="C82" s="538"/>
      <c r="D82" s="538"/>
      <c r="E82" s="538"/>
      <c r="F82" s="538"/>
      <c r="G82" s="538"/>
      <c r="H82" s="538"/>
      <c r="I82" s="538"/>
      <c r="J82" s="519"/>
      <c r="K82" s="520"/>
      <c r="L82" s="900">
        <f>SUM(L79:L81)</f>
        <v>0</v>
      </c>
      <c r="M82" s="753"/>
      <c r="N82" s="900">
        <f>SUM(N79:N81)</f>
        <v>0</v>
      </c>
      <c r="O82" s="753"/>
      <c r="P82" s="900">
        <f>SUM(P79:P81)</f>
        <v>0</v>
      </c>
      <c r="Q82" s="753"/>
      <c r="R82" s="900">
        <f>SUM(R79:R81)</f>
        <v>0</v>
      </c>
      <c r="S82" s="753"/>
      <c r="T82" s="900">
        <f>SUM(T79:T81)</f>
        <v>0</v>
      </c>
      <c r="U82" s="753"/>
      <c r="V82" s="900" t="e">
        <f>SUM(V79:V81)</f>
        <v>#VALUE!</v>
      </c>
      <c r="W82" s="753"/>
      <c r="X82" s="900">
        <f>SUM(X79:X81)</f>
        <v>0</v>
      </c>
      <c r="Y82" s="753"/>
      <c r="Z82" s="900">
        <f>SUM(Z79:Z81)</f>
        <v>0</v>
      </c>
      <c r="AA82" s="753"/>
      <c r="AB82" s="900">
        <f>SUM(AB79:AB81)</f>
        <v>0</v>
      </c>
      <c r="AC82" s="753"/>
      <c r="AD82" s="900">
        <f>SUM(AD79:AD81)</f>
        <v>0</v>
      </c>
      <c r="AE82" s="753"/>
      <c r="AF82" s="900">
        <f>SUM(AF79:AF81)</f>
        <v>0</v>
      </c>
      <c r="AG82" s="753"/>
      <c r="AH82" s="900">
        <f>SUM(AH79:AH81)</f>
        <v>0</v>
      </c>
      <c r="AI82" s="753"/>
      <c r="AJ82" s="901" t="e">
        <f>SUM(AJ79:AJ81)</f>
        <v>#VALUE!</v>
      </c>
      <c r="AK82" s="902"/>
      <c r="AL82" s="902"/>
    </row>
    <row r="83" spans="1:39" ht="30" customHeight="1" x14ac:dyDescent="0.25">
      <c r="A83" s="535" t="s">
        <v>201</v>
      </c>
      <c r="B83" s="536"/>
      <c r="C83" s="536"/>
      <c r="D83" s="536"/>
      <c r="E83" s="536"/>
      <c r="F83" s="536"/>
      <c r="G83" s="536"/>
      <c r="H83" s="536"/>
      <c r="I83" s="536"/>
      <c r="J83" s="519"/>
      <c r="K83" s="520"/>
      <c r="L83" s="748" t="s">
        <v>153</v>
      </c>
      <c r="M83" s="748"/>
      <c r="N83" s="748" t="s">
        <v>154</v>
      </c>
      <c r="O83" s="748"/>
      <c r="P83" s="748" t="s">
        <v>155</v>
      </c>
      <c r="Q83" s="748"/>
      <c r="R83" s="748" t="s">
        <v>156</v>
      </c>
      <c r="S83" s="748"/>
      <c r="T83" s="748" t="s">
        <v>157</v>
      </c>
      <c r="U83" s="748"/>
      <c r="V83" s="748" t="s">
        <v>158</v>
      </c>
      <c r="W83" s="748"/>
      <c r="X83" s="748" t="s">
        <v>159</v>
      </c>
      <c r="Y83" s="748"/>
      <c r="Z83" s="748" t="s">
        <v>160</v>
      </c>
      <c r="AA83" s="748"/>
      <c r="AB83" s="748" t="s">
        <v>161</v>
      </c>
      <c r="AC83" s="748"/>
      <c r="AD83" s="748" t="s">
        <v>162</v>
      </c>
      <c r="AE83" s="748"/>
      <c r="AF83" s="748" t="s">
        <v>163</v>
      </c>
      <c r="AG83" s="748"/>
      <c r="AH83" s="748" t="s">
        <v>164</v>
      </c>
      <c r="AI83" s="748"/>
      <c r="AJ83" s="748" t="s">
        <v>165</v>
      </c>
      <c r="AK83" s="748"/>
      <c r="AL83" s="748"/>
    </row>
    <row r="84" spans="1:39" ht="20.100000000000001" customHeight="1" x14ac:dyDescent="0.25">
      <c r="A84" s="533" t="s">
        <v>52</v>
      </c>
      <c r="B84" s="534"/>
      <c r="C84" s="534"/>
      <c r="D84" s="534"/>
      <c r="E84" s="534"/>
      <c r="F84" s="534"/>
      <c r="G84" s="534"/>
      <c r="H84" s="534"/>
      <c r="I84" s="534"/>
      <c r="J84" s="516"/>
      <c r="K84" s="517"/>
      <c r="L84" s="744">
        <f>COUNTIFS('CLIENT ENROLLMENT DISCHARGE '!D15:D5000,"&gt;=07/01/2000",'CLIENT ENROLLMENT DISCHARGE '!D15:D5000,"&lt;=07/31/2020",JULY!R16:R5001,"YES")</f>
        <v>0</v>
      </c>
      <c r="M84" s="744"/>
      <c r="N84" s="744">
        <f>COUNTIFS('CLIENT ENROLLMENT DISCHARGE '!D15:D5000,"&gt;=08/01/2020",'CLIENT ENROLLMENT DISCHARGE '!D15:D5000,"&lt;=08/31/2020",AUG!R15:R5000,"YES")</f>
        <v>0</v>
      </c>
      <c r="O84" s="744"/>
      <c r="P84" s="744">
        <f>COUNTIFS('CLIENT ENROLLMENT DISCHARGE '!D15:D5000,"&gt;=09/01/2020",'CLIENT ENROLLMENT DISCHARGE '!D15:D5000,"&lt;=09/30/2020",SEPT!R15:R5000,"YES")</f>
        <v>0</v>
      </c>
      <c r="Q84" s="744"/>
      <c r="R84" s="744">
        <f>COUNTIFS('CLIENT ENROLLMENT DISCHARGE '!D15:D5000,"&gt;=10/01/2020",'CLIENT ENROLLMENT DISCHARGE '!D15:D5000,"&lt;=10/31/2020",OCT!R15:R5000,"YES")</f>
        <v>0</v>
      </c>
      <c r="S84" s="744"/>
      <c r="T84" s="744">
        <f>COUNTIFS('CLIENT ENROLLMENT DISCHARGE '!D15:D5000,"&gt;=11/01/2020",'CLIENT ENROLLMENT DISCHARGE '!D15:D5000,"&lt;=11/30/2020",NOV!R15:R5000,"YES")</f>
        <v>0</v>
      </c>
      <c r="U84" s="744"/>
      <c r="V84" s="744" t="e">
        <f>COUNTIFS('CLIENT ENROLLMENT DISCHARGE '!D15:D5000,"&gt;=12/01/2020",'CLIENT ENROLLMENT DISCHARGE '!D15:D5000,"&lt;=12/31/2020",DEC!R15:R4999,"YES")</f>
        <v>#VALUE!</v>
      </c>
      <c r="W84" s="744"/>
      <c r="X84" s="744">
        <f>COUNTIFS('CLIENT ENROLLMENT DISCHARGE '!D15:D5000,"&gt;=01/01/2021",'CLIENT ENROLLMENT DISCHARGE '!D15:D5000,"&lt;=01/31/2021",JAN!R15:R5000,"YES")</f>
        <v>0</v>
      </c>
      <c r="Y84" s="744"/>
      <c r="Z84" s="744">
        <f>COUNTIFS('CLIENT ENROLLMENT DISCHARGE '!D15:D5000,"&gt;=02/01/2021",'CLIENT ENROLLMENT DISCHARGE '!D15:D5000,"&lt;=02/28/2021",FEB!R15:R5000,"YES")</f>
        <v>0</v>
      </c>
      <c r="AA84" s="744"/>
      <c r="AB84" s="744">
        <f>COUNTIFS('CLIENT ENROLLMENT DISCHARGE '!D15:D5000,"&gt;=03/01/2021",'CLIENT ENROLLMENT DISCHARGE '!D15:D5000,"&lt;=03/31/2021",MAR!R15:R5000,"YES")</f>
        <v>0</v>
      </c>
      <c r="AC84" s="744"/>
      <c r="AD84" s="744">
        <f>COUNTIFS('CLIENT ENROLLMENT DISCHARGE '!D15:D5000,"&gt;=04/01/2021",'CLIENT ENROLLMENT DISCHARGE '!D15:D5000,"&lt;=04/30/2021",APR!R15:R5000,"YES")</f>
        <v>0</v>
      </c>
      <c r="AE84" s="744"/>
      <c r="AF84" s="744">
        <f>COUNTIFS('CLIENT ENROLLMENT DISCHARGE '!D15:D5000,"&gt;=05/01/2021",'CLIENT ENROLLMENT DISCHARGE '!D15:D5000,"&lt;=05/31/2021",MAY!R15:R5000,"YES")</f>
        <v>0</v>
      </c>
      <c r="AG84" s="744"/>
      <c r="AH84" s="744">
        <f>COUNTIFS('CLIENT ENROLLMENT DISCHARGE '!D15:D5000,"&gt;=06/01/2021",'CLIENT ENROLLMENT DISCHARGE '!D15:D5000,"&lt;=06/30/2021",JUNE!R15:R5000,"YES")</f>
        <v>0</v>
      </c>
      <c r="AI84" s="744"/>
      <c r="AJ84" s="745" t="e">
        <f>SUM(J84:AH84)</f>
        <v>#VALUE!</v>
      </c>
      <c r="AK84" s="746"/>
      <c r="AL84" s="747"/>
    </row>
    <row r="85" spans="1:39" ht="20.100000000000001" customHeight="1" x14ac:dyDescent="0.25">
      <c r="A85" s="533" t="s">
        <v>43</v>
      </c>
      <c r="B85" s="534"/>
      <c r="C85" s="534"/>
      <c r="D85" s="534"/>
      <c r="E85" s="534"/>
      <c r="F85" s="534"/>
      <c r="G85" s="534"/>
      <c r="H85" s="534"/>
      <c r="I85" s="534"/>
      <c r="J85" s="516"/>
      <c r="K85" s="517"/>
      <c r="L85" s="744">
        <f>COUNTIFS('CLIENT ENROLLMENT DISCHARGE '!D15:D5000,"&gt;=07/01/2000",'CLIENT ENROLLMENT DISCHARGE '!D15:D5000,"&lt;=07/31/2020",JULY!R16:R5001,"NO")</f>
        <v>0</v>
      </c>
      <c r="M85" s="744"/>
      <c r="N85" s="744">
        <f>COUNTIFS('CLIENT ENROLLMENT DISCHARGE '!D15:D5000,"&gt;=08/01/2020",'CLIENT ENROLLMENT DISCHARGE '!D15:D5000,"&lt;=08/31/2020",AUG!R15:R5000,"NO")</f>
        <v>0</v>
      </c>
      <c r="O85" s="744"/>
      <c r="P85" s="744">
        <f>COUNTIFS('CLIENT ENROLLMENT DISCHARGE '!D15:D5000,"&gt;=09/01/2020",'CLIENT ENROLLMENT DISCHARGE '!D15:D5000,"&lt;=09/30/2020",SEPT!R15:R5000,"NO")</f>
        <v>0</v>
      </c>
      <c r="Q85" s="744"/>
      <c r="R85" s="744">
        <f>COUNTIFS('CLIENT ENROLLMENT DISCHARGE '!D15:D5000,"&gt;=10/01/2020",'CLIENT ENROLLMENT DISCHARGE '!D15:D5000,"&lt;=10/31/2020",OCT!R15:R5000,"NO")</f>
        <v>0</v>
      </c>
      <c r="S85" s="744"/>
      <c r="T85" s="744">
        <f>COUNTIFS('CLIENT ENROLLMENT DISCHARGE '!D15:D5000,"&gt;=11/01/2020",'CLIENT ENROLLMENT DISCHARGE '!D15:D5000,"&lt;=11/30/2020",NOV!R15:R5000,"NO")</f>
        <v>0</v>
      </c>
      <c r="U85" s="744"/>
      <c r="V85" s="744" t="e">
        <f>COUNTIFS('CLIENT ENROLLMENT DISCHARGE '!D15:D5000,"&gt;=12/01/2020",'CLIENT ENROLLMENT DISCHARGE '!D15:D5000,"&lt;=12/31/2020",DEC!R15:R4999,"NO")</f>
        <v>#VALUE!</v>
      </c>
      <c r="W85" s="744"/>
      <c r="X85" s="744">
        <f>COUNTIFS('CLIENT ENROLLMENT DISCHARGE '!D15:D5000,"&gt;=01/01/2021",'CLIENT ENROLLMENT DISCHARGE '!D15:D5000,"&lt;=01/31/2021",JAN!R15:R5000,"NO")</f>
        <v>0</v>
      </c>
      <c r="Y85" s="744"/>
      <c r="Z85" s="744">
        <f>COUNTIFS('CLIENT ENROLLMENT DISCHARGE '!D15:D5000,"&gt;=02/01/2021",'CLIENT ENROLLMENT DISCHARGE '!D15:D5000,"&lt;=02/28/2021",FEB!R15:R5000,"NO")</f>
        <v>0</v>
      </c>
      <c r="AA85" s="744"/>
      <c r="AB85" s="744">
        <f>COUNTIFS('CLIENT ENROLLMENT DISCHARGE '!D15:D5000,"&gt;=03/01/2021",'CLIENT ENROLLMENT DISCHARGE '!D15:D5000,"&lt;=03/31/2021",MAR!R15:R5000,"NO")</f>
        <v>0</v>
      </c>
      <c r="AC85" s="744"/>
      <c r="AD85" s="744">
        <f>COUNTIFS('CLIENT ENROLLMENT DISCHARGE '!D15:D5000,"&gt;=04/01/2021",'CLIENT ENROLLMENT DISCHARGE '!D15:D5000,"&lt;=04/30/2021",APR!R15:R5000,"NO")</f>
        <v>0</v>
      </c>
      <c r="AE85" s="744"/>
      <c r="AF85" s="744">
        <f>COUNTIFS('CLIENT ENROLLMENT DISCHARGE '!D15:D5000,"&gt;=05/01/2021",'CLIENT ENROLLMENT DISCHARGE '!D15:D5000,"&lt;=05/31/2021",MAY!R15:R5000,"NO")</f>
        <v>0</v>
      </c>
      <c r="AG85" s="744"/>
      <c r="AH85" s="744">
        <f>COUNTIFS('CLIENT ENROLLMENT DISCHARGE '!D15:D5000,"&gt;=06/01/2021",'CLIENT ENROLLMENT DISCHARGE '!D15:D5000,"&lt;=06/30/2021",JUNE!R15:R5000,"NO")</f>
        <v>0</v>
      </c>
      <c r="AI85" s="744"/>
      <c r="AJ85" s="745" t="e">
        <f>SUM(J85:AH85)</f>
        <v>#VALUE!</v>
      </c>
      <c r="AK85" s="746"/>
      <c r="AL85" s="747"/>
    </row>
    <row r="86" spans="1:39" ht="30" customHeight="1" x14ac:dyDescent="0.3">
      <c r="A86" s="539" t="s">
        <v>202</v>
      </c>
      <c r="B86" s="540"/>
      <c r="C86" s="540"/>
      <c r="D86" s="540"/>
      <c r="E86" s="540"/>
      <c r="F86" s="540"/>
      <c r="G86" s="540"/>
      <c r="H86" s="540"/>
      <c r="I86" s="540"/>
      <c r="J86" s="541"/>
      <c r="K86" s="542"/>
      <c r="L86" s="742">
        <f>SUM(L84:L85)</f>
        <v>0</v>
      </c>
      <c r="M86" s="743"/>
      <c r="N86" s="742">
        <f>SUM(N84:N85)</f>
        <v>0</v>
      </c>
      <c r="O86" s="743"/>
      <c r="P86" s="742">
        <f>SUM(P84:P85)</f>
        <v>0</v>
      </c>
      <c r="Q86" s="743"/>
      <c r="R86" s="742">
        <f>SUM(R84:R85)</f>
        <v>0</v>
      </c>
      <c r="S86" s="743"/>
      <c r="T86" s="742">
        <f>SUM(T84:T85)</f>
        <v>0</v>
      </c>
      <c r="U86" s="743"/>
      <c r="V86" s="742" t="e">
        <f>SUM(V84:V85)</f>
        <v>#VALUE!</v>
      </c>
      <c r="W86" s="743"/>
      <c r="X86" s="742">
        <f>SUM(X84:X85)</f>
        <v>0</v>
      </c>
      <c r="Y86" s="743"/>
      <c r="Z86" s="742">
        <f>SUM(Z84:Z85)</f>
        <v>0</v>
      </c>
      <c r="AA86" s="743"/>
      <c r="AB86" s="742">
        <f>SUM(AB84:AB85)</f>
        <v>0</v>
      </c>
      <c r="AC86" s="743"/>
      <c r="AD86" s="742">
        <f>SUM(AD84:AD85)</f>
        <v>0</v>
      </c>
      <c r="AE86" s="743"/>
      <c r="AF86" s="742">
        <f>SUM(AF84:AF85)</f>
        <v>0</v>
      </c>
      <c r="AG86" s="743"/>
      <c r="AH86" s="742">
        <f>SUM(AH84:AH85)</f>
        <v>0</v>
      </c>
      <c r="AI86" s="743"/>
      <c r="AJ86" s="739" t="e">
        <f>SUM(AJ84:AJ85)</f>
        <v>#VALUE!</v>
      </c>
      <c r="AK86" s="740"/>
      <c r="AL86" s="741"/>
    </row>
    <row r="87" spans="1:39" ht="30" customHeight="1" x14ac:dyDescent="0.25">
      <c r="A87" s="501" t="s">
        <v>203</v>
      </c>
      <c r="B87" s="502"/>
      <c r="C87" s="502"/>
      <c r="D87" s="502"/>
      <c r="E87" s="502"/>
      <c r="F87" s="502"/>
      <c r="G87" s="502"/>
      <c r="H87" s="502"/>
      <c r="I87" s="502"/>
      <c r="J87" s="519"/>
      <c r="K87" s="520"/>
      <c r="L87" s="721" t="s">
        <v>153</v>
      </c>
      <c r="M87" s="721"/>
      <c r="N87" s="721" t="s">
        <v>154</v>
      </c>
      <c r="O87" s="721"/>
      <c r="P87" s="721" t="s">
        <v>155</v>
      </c>
      <c r="Q87" s="721"/>
      <c r="R87" s="721" t="s">
        <v>156</v>
      </c>
      <c r="S87" s="721"/>
      <c r="T87" s="721" t="s">
        <v>157</v>
      </c>
      <c r="U87" s="721"/>
      <c r="V87" s="721" t="s">
        <v>158</v>
      </c>
      <c r="W87" s="721"/>
      <c r="X87" s="721" t="s">
        <v>159</v>
      </c>
      <c r="Y87" s="721"/>
      <c r="Z87" s="721" t="s">
        <v>160</v>
      </c>
      <c r="AA87" s="721"/>
      <c r="AB87" s="721" t="s">
        <v>161</v>
      </c>
      <c r="AC87" s="721"/>
      <c r="AD87" s="721" t="s">
        <v>162</v>
      </c>
      <c r="AE87" s="721"/>
      <c r="AF87" s="721" t="s">
        <v>163</v>
      </c>
      <c r="AG87" s="721"/>
      <c r="AH87" s="721" t="s">
        <v>164</v>
      </c>
      <c r="AI87" s="721"/>
      <c r="AJ87" s="721" t="s">
        <v>165</v>
      </c>
      <c r="AK87" s="721"/>
      <c r="AL87" s="721"/>
    </row>
    <row r="88" spans="1:39" ht="24.95" customHeight="1" x14ac:dyDescent="0.25">
      <c r="A88" s="513" t="s">
        <v>93</v>
      </c>
      <c r="B88" s="514"/>
      <c r="C88" s="514"/>
      <c r="D88" s="514"/>
      <c r="E88" s="514"/>
      <c r="F88" s="514"/>
      <c r="G88" s="514"/>
      <c r="H88" s="514"/>
      <c r="I88" s="515"/>
      <c r="J88" s="516"/>
      <c r="K88" s="517"/>
      <c r="L88" s="678">
        <f>COUNTIFS('CLIENT ENROLLMENT DISCHARGE '!D15:D5000,"&gt;=07/01/2000",'CLIENT ENROLLMENT DISCHARGE '!D15:D5000,"&lt;=07/31/2020",JULY!U16:U5001,"Independently working")</f>
        <v>0</v>
      </c>
      <c r="M88" s="679"/>
      <c r="N88" s="678">
        <f>COUNTIFS('CLIENT ENROLLMENT DISCHARGE '!D15:D5000,"&gt;=08/01/2020",'CLIENT ENROLLMENT DISCHARGE '!D15:D5000,"&lt;=08/31/2020",AUG!U15:U5000,"Independently working")</f>
        <v>0</v>
      </c>
      <c r="O88" s="679"/>
      <c r="P88" s="678">
        <f>COUNTIFS('CLIENT ENROLLMENT DISCHARGE '!D15:D5000,"&gt;=09/01/2020",'CLIENT ENROLLMENT DISCHARGE '!D15:D5000,"&lt;=09/30/2020",SEPT!U15:U5000,"Independently working")</f>
        <v>0</v>
      </c>
      <c r="Q88" s="679"/>
      <c r="R88" s="678">
        <f>COUNTIFS('CLIENT ENROLLMENT DISCHARGE '!D15:D5000,"&gt;=10/01/2020",'CLIENT ENROLLMENT DISCHARGE '!D15:D5000,"&lt;=10/31/2020",OCT!U15:U5000,"Independently working")</f>
        <v>0</v>
      </c>
      <c r="S88" s="679"/>
      <c r="T88" s="678">
        <f>COUNTIFS('CLIENT ENROLLMENT DISCHARGE '!D15:D5000,"&gt;=11/01/2020",'CLIENT ENROLLMENT DISCHARGE '!D15:D5000,"&lt;=11/30/2020",NOV!U15:U5000,"Independently working")</f>
        <v>0</v>
      </c>
      <c r="U88" s="679"/>
      <c r="V88" s="678" t="e">
        <f>COUNTIFS('CLIENT ENROLLMENT DISCHARGE '!D15:D5000,"&gt;=12/01/2020",'CLIENT ENROLLMENT DISCHARGE '!D15:D5000,"&lt;=12/31/2020",DEC!U15:U4999,"Independently working")</f>
        <v>#VALUE!</v>
      </c>
      <c r="W88" s="679"/>
      <c r="X88" s="707">
        <f>COUNTIFS('CLIENT ENROLLMENT DISCHARGE '!D15:D5000,"&gt;=01/01/2021",'CLIENT ENROLLMENT DISCHARGE '!D15:D5000,"&lt;=01/31/2021",JAN!U15:U5000,"Independently working")</f>
        <v>0</v>
      </c>
      <c r="Y88" s="707"/>
      <c r="Z88" s="707">
        <f>COUNTIFS('CLIENT ENROLLMENT DISCHARGE '!D15:D5000,"&gt;=02/01/2021",'CLIENT ENROLLMENT DISCHARGE '!D15:D5000,"&lt;=02/28/2021",FEB!U15:U5000,"Independently working")</f>
        <v>0</v>
      </c>
      <c r="AA88" s="707"/>
      <c r="AB88" s="707">
        <f>COUNTIFS('CLIENT ENROLLMENT DISCHARGE '!D15:D5000,"&gt;=03/01/2021",'CLIENT ENROLLMENT DISCHARGE '!D15:D5000,"&lt;=03/31/2021",MAR!U15:U5000,"Independently working")</f>
        <v>0</v>
      </c>
      <c r="AC88" s="707"/>
      <c r="AD88" s="707">
        <f>COUNTIFS('CLIENT ENROLLMENT DISCHARGE '!D15:D5000,"&gt;=04/01/2021",'CLIENT ENROLLMENT DISCHARGE '!D15:D5000,"&lt;=04/30/2021",APR!U15:U5000,"Independently working")</f>
        <v>0</v>
      </c>
      <c r="AE88" s="707"/>
      <c r="AF88" s="707">
        <f>COUNTIFS('CLIENT ENROLLMENT DISCHARGE '!D15:D5000,"&gt;=05/01/2021",'CLIENT ENROLLMENT DISCHARGE '!D15:D5000,"&lt;=05/31/2021",MAY!U15:U5000,"Independently working")</f>
        <v>0</v>
      </c>
      <c r="AG88" s="707"/>
      <c r="AH88" s="707">
        <f>COUNTIFS('CLIENT ENROLLMENT DISCHARGE '!D15:D5000,"&gt;=06/01/2021",'CLIENT ENROLLMENT DISCHARGE '!D15:D5000,"&lt;=06/30/2021",JUNE!U15:U5000,"Independently working")</f>
        <v>0</v>
      </c>
      <c r="AI88" s="707"/>
      <c r="AJ88" s="678" t="e">
        <f t="shared" ref="AJ88:AJ93" si="2">SUM(J88:AH88)</f>
        <v>#VALUE!</v>
      </c>
      <c r="AK88" s="708"/>
      <c r="AL88" s="679"/>
    </row>
    <row r="89" spans="1:39" ht="24.95" customHeight="1" x14ac:dyDescent="0.25">
      <c r="A89" s="513" t="s">
        <v>94</v>
      </c>
      <c r="B89" s="514"/>
      <c r="C89" s="514"/>
      <c r="D89" s="514"/>
      <c r="E89" s="514"/>
      <c r="F89" s="514"/>
      <c r="G89" s="514"/>
      <c r="H89" s="514"/>
      <c r="I89" s="515"/>
      <c r="J89" s="516"/>
      <c r="K89" s="517"/>
      <c r="L89" s="678">
        <f>COUNTIFS('CLIENT ENROLLMENT DISCHARGE '!D15:D5000,"&gt;=07/01/2000",'CLIENT ENROLLMENT DISCHARGE '!D15:D5000,"&lt;=07/31/2020",JULY!U16:U5001,"Integrated with employer providing all supports (natural/internal)")</f>
        <v>0</v>
      </c>
      <c r="M89" s="679"/>
      <c r="N89" s="678">
        <f>COUNTIFS('CLIENT ENROLLMENT DISCHARGE '!D15:D5000,"&gt;=08/01/2020",'CLIENT ENROLLMENT DISCHARGE '!D15:D5000,"&lt;=08/31/2020",AUG!U15:U5000,"Integrated with employer providing all supports (natural/internal)")</f>
        <v>0</v>
      </c>
      <c r="O89" s="679"/>
      <c r="P89" s="678">
        <f>COUNTIFS('CLIENT ENROLLMENT DISCHARGE '!D15:D5000,"&gt;=09/01/2020",'CLIENT ENROLLMENT DISCHARGE '!D15:D5000,"&lt;=09/30/2020",SEPT!U15:U5000,"Integrated with employer providing all supports (natural/internal)")</f>
        <v>0</v>
      </c>
      <c r="Q89" s="679"/>
      <c r="R89" s="678">
        <f>COUNTIFS('CLIENT ENROLLMENT DISCHARGE '!D15:D5000,"&gt;=10/01/2020",'CLIENT ENROLLMENT DISCHARGE '!D15:D5000,"&lt;=10/31/2020",OCT!U15:U5000,"Integrated with employer providing all supports (natural/internal)")</f>
        <v>0</v>
      </c>
      <c r="S89" s="679"/>
      <c r="T89" s="678">
        <f>COUNTIFS('CLIENT ENROLLMENT DISCHARGE '!D15:D5000,"&gt;=11/01/2020",'CLIENT ENROLLMENT DISCHARGE '!D15:D5000,"&lt;=11/30/2020",NOV!U15:U5000,"Integrated with employer providing all supports (natural/internal)")</f>
        <v>0</v>
      </c>
      <c r="U89" s="679"/>
      <c r="V89" s="678" t="e">
        <f>COUNTIFS('CLIENT ENROLLMENT DISCHARGE '!D15:D5000,"&gt;=12/01/2020",'CLIENT ENROLLMENT DISCHARGE '!D15:D5000,"&lt;=12/31/2020",DEC!U15:U4999,"Integrated with employer providing all supports (natural/internal)")</f>
        <v>#VALUE!</v>
      </c>
      <c r="W89" s="679"/>
      <c r="X89" s="707">
        <f>COUNTIFS('CLIENT ENROLLMENT DISCHARGE '!D15:D5000,"&gt;=01/01/2021",'CLIENT ENROLLMENT DISCHARGE '!D15:D5000,"&lt;=01/31/2021",JAN!U15:U5000,"Integrated with employer providing all supports (natural/internal)")</f>
        <v>0</v>
      </c>
      <c r="Y89" s="707"/>
      <c r="Z89" s="707">
        <f>COUNTIFS('CLIENT ENROLLMENT DISCHARGE '!D15:D5000,"&gt;=02/01/2021",'CLIENT ENROLLMENT DISCHARGE '!D15:D5000,"&lt;=02/28/2021",FEB!U15:U5000,"Integrated with employer providing all supports (natural/internal)")</f>
        <v>0</v>
      </c>
      <c r="AA89" s="707"/>
      <c r="AB89" s="707">
        <f>COUNTIFS('CLIENT ENROLLMENT DISCHARGE '!D15:D5000,"&gt;=03/01/2021",'CLIENT ENROLLMENT DISCHARGE '!D15:D5000,"&lt;=03/31/2021",MAR!U15:U5000,"Integrated with employer providing all supports (natural/internal)")</f>
        <v>0</v>
      </c>
      <c r="AC89" s="707"/>
      <c r="AD89" s="707">
        <f>COUNTIFS('CLIENT ENROLLMENT DISCHARGE '!D15:D5000,"&gt;=04/01/2021",'CLIENT ENROLLMENT DISCHARGE '!D15:D5000,"&lt;=04/30/2021",APR!U15:U5000,"Integrated with employer providing all supports (natural/internal)")</f>
        <v>0</v>
      </c>
      <c r="AE89" s="707"/>
      <c r="AF89" s="707">
        <f>COUNTIFS('CLIENT ENROLLMENT DISCHARGE '!D15:D5000,"&gt;=05/01/2021",'CLIENT ENROLLMENT DISCHARGE '!D15:D5000,"&lt;=05/31/2021",MAY!U15:U5000,"Integrated with employer providing all supports (natural/internal)")</f>
        <v>0</v>
      </c>
      <c r="AG89" s="707"/>
      <c r="AH89" s="707">
        <f>COUNTIFS('CLIENT ENROLLMENT DISCHARGE '!D15:D5000,"&gt;=06/01/2021",'CLIENT ENROLLMENT DISCHARGE '!D15:D5000,"&lt;=06/30/2021",JUNE!U15:U5000,"Integrated with employer providing all supports (natural/internal)")</f>
        <v>0</v>
      </c>
      <c r="AI89" s="707"/>
      <c r="AJ89" s="678" t="e">
        <f t="shared" si="2"/>
        <v>#VALUE!</v>
      </c>
      <c r="AK89" s="708"/>
      <c r="AL89" s="679"/>
    </row>
    <row r="90" spans="1:39" ht="24.95" customHeight="1" x14ac:dyDescent="0.25">
      <c r="A90" s="513" t="s">
        <v>96</v>
      </c>
      <c r="B90" s="514"/>
      <c r="C90" s="514"/>
      <c r="D90" s="514"/>
      <c r="E90" s="514"/>
      <c r="F90" s="514"/>
      <c r="G90" s="514"/>
      <c r="H90" s="514"/>
      <c r="I90" s="515"/>
      <c r="J90" s="516"/>
      <c r="K90" s="517"/>
      <c r="L90" s="678">
        <f>COUNTIFS('CLIENT ENROLLMENT DISCHARGE '!D15:D5000,"&gt;=07/01/2000",'CLIENT ENROLLMENT DISCHARGE '!D15:D5000,"&lt;=07/31/2020",JULY!U16:U5001,"Partial support ")</f>
        <v>0</v>
      </c>
      <c r="M90" s="679"/>
      <c r="N90" s="678">
        <f>COUNTIFS('CLIENT ENROLLMENT DISCHARGE '!D15:D5000,"&gt;=08/01/2020",'CLIENT ENROLLMENT DISCHARGE '!D15:D5000,"&lt;=08/31/2020",AUG!U15:U5000,"Partial support ")</f>
        <v>0</v>
      </c>
      <c r="O90" s="679"/>
      <c r="P90" s="678">
        <f>COUNTIFS('CLIENT ENROLLMENT DISCHARGE '!D15:D5000,"&gt;=09/01/2020",'CLIENT ENROLLMENT DISCHARGE '!D15:D5000,"&lt;=09/30/2020",SEPT!U15:U5000,"Partial support ")</f>
        <v>0</v>
      </c>
      <c r="Q90" s="679"/>
      <c r="R90" s="678">
        <f>COUNTIFS('CLIENT ENROLLMENT DISCHARGE '!D15:D5000,"&gt;=10/01/2020",'CLIENT ENROLLMENT DISCHARGE '!D15:D5000,"&lt;=10/31/2020",OCT!U15:U5000,"Partial support ")</f>
        <v>0</v>
      </c>
      <c r="S90" s="679"/>
      <c r="T90" s="678">
        <f>COUNTIFS('CLIENT ENROLLMENT DISCHARGE '!D15:D5000,"&gt;=11/01/2020",'CLIENT ENROLLMENT DISCHARGE '!D15:D5000,"&lt;=11/30/2020",NOV!U15:U5000,"Partial support ")</f>
        <v>0</v>
      </c>
      <c r="U90" s="679"/>
      <c r="V90" s="678" t="e">
        <f>COUNTIFS('CLIENT ENROLLMENT DISCHARGE '!D15:D5000,"&gt;=12/01/2020",'CLIENT ENROLLMENT DISCHARGE '!D15:D5000,"&lt;=12/31/2020",DEC!U15:U4999,"Partial support ")</f>
        <v>#VALUE!</v>
      </c>
      <c r="W90" s="679"/>
      <c r="X90" s="707">
        <f>COUNTIFS('CLIENT ENROLLMENT DISCHARGE '!D15:D5000,"&gt;=01/01/2021",'CLIENT ENROLLMENT DISCHARGE '!D15:D5000,"&lt;=01/31/2021",JAN!U15:U5000,"Partial support ")</f>
        <v>0</v>
      </c>
      <c r="Y90" s="707"/>
      <c r="Z90" s="707">
        <f>COUNTIFS('CLIENT ENROLLMENT DISCHARGE '!D15:D5000,"&gt;=02/01/2021",'CLIENT ENROLLMENT DISCHARGE '!D15:D5000,"&lt;=02/28/2021",FEB!U15:U5000,"Partial support ")</f>
        <v>0</v>
      </c>
      <c r="AA90" s="707"/>
      <c r="AB90" s="707">
        <f>COUNTIFS('CLIENT ENROLLMENT DISCHARGE '!D15:D5000,"&gt;=03/01/2021",'CLIENT ENROLLMENT DISCHARGE '!D15:D5000,"&lt;=03/31/2021",MAR!U15:U5000,"Partial support ")</f>
        <v>0</v>
      </c>
      <c r="AC90" s="707"/>
      <c r="AD90" s="707">
        <f>COUNTIFS('CLIENT ENROLLMENT DISCHARGE '!D15:D5000,"&gt;=04/01/2021",'CLIENT ENROLLMENT DISCHARGE '!D15:D5000,"&lt;=04/30/2021",APR!U15:U5000,"Partial support ")</f>
        <v>0</v>
      </c>
      <c r="AE90" s="707"/>
      <c r="AF90" s="707">
        <f>COUNTIFS('CLIENT ENROLLMENT DISCHARGE '!D15:D5000,"&gt;=05/01/2021",'CLIENT ENROLLMENT DISCHARGE '!D15:D5000,"&lt;=05/31/2021",MAY!U15:U5000,"Partial support ")</f>
        <v>0</v>
      </c>
      <c r="AG90" s="707"/>
      <c r="AH90" s="707">
        <f>COUNTIFS('CLIENT ENROLLMENT DISCHARGE '!D15:D5000,"&gt;=06/01/2021",'CLIENT ENROLLMENT DISCHARGE '!D15:D5000,"&lt;=06/30/2021",JUNE!U15:U5000,"Partial support ")</f>
        <v>0</v>
      </c>
      <c r="AI90" s="707"/>
      <c r="AJ90" s="678" t="e">
        <f t="shared" si="2"/>
        <v>#VALUE!</v>
      </c>
      <c r="AK90" s="708"/>
      <c r="AL90" s="679"/>
    </row>
    <row r="91" spans="1:39" ht="24.95" customHeight="1" x14ac:dyDescent="0.25">
      <c r="A91" s="513" t="s">
        <v>98</v>
      </c>
      <c r="B91" s="514"/>
      <c r="C91" s="514"/>
      <c r="D91" s="514"/>
      <c r="E91" s="514"/>
      <c r="F91" s="514"/>
      <c r="G91" s="514"/>
      <c r="H91" s="514"/>
      <c r="I91" s="515"/>
      <c r="J91" s="516"/>
      <c r="K91" s="517"/>
      <c r="L91" s="678">
        <f>COUNTIFS('CLIENT ENROLLMENT DISCHARGE '!D15:D5000,"&gt;=07/01/2000",'CLIENT ENROLLMENT DISCHARGE '!D15:D5000,"&lt;=07/31/2020",JULY!U16:U5001,"Supported Employment staff always present.")</f>
        <v>0</v>
      </c>
      <c r="M91" s="679"/>
      <c r="N91" s="678">
        <f>COUNTIFS('CLIENT ENROLLMENT DISCHARGE '!D15:D5000,"&gt;=08/01/2020",'CLIENT ENROLLMENT DISCHARGE '!D15:D5000,"&lt;=08/31/2020",AUG!U15:U5000,"Supported Employment staff always present.")</f>
        <v>0</v>
      </c>
      <c r="O91" s="679"/>
      <c r="P91" s="678">
        <f>COUNTIFS('CLIENT ENROLLMENT DISCHARGE '!D15:D5000,"&gt;=09/01/2020",'CLIENT ENROLLMENT DISCHARGE '!D15:D5000,"&lt;=09/30/2020",SEPT!U15:U5000,"Supported Employment staff always present.")</f>
        <v>0</v>
      </c>
      <c r="Q91" s="679"/>
      <c r="R91" s="678">
        <f>COUNTIFS('CLIENT ENROLLMENT DISCHARGE '!D15:D5000,"&gt;=10/01/2020",'CLIENT ENROLLMENT DISCHARGE '!D15:D5000,"&lt;=10/31/2020",OCT!U15:U5000,"Supported Employment staff always present.")</f>
        <v>0</v>
      </c>
      <c r="S91" s="679"/>
      <c r="T91" s="678">
        <f>COUNTIFS('CLIENT ENROLLMENT DISCHARGE '!D15:D5000,"&gt;=11/01/2020",'CLIENT ENROLLMENT DISCHARGE '!D15:D5000,"&lt;=11/30/2020",NOV!U15:U5000,"Supported Employment staff always present.")</f>
        <v>0</v>
      </c>
      <c r="U91" s="679"/>
      <c r="V91" s="678" t="e">
        <f>COUNTIFS('CLIENT ENROLLMENT DISCHARGE '!D15:D5000,"&gt;=12/01/2020",'CLIENT ENROLLMENT DISCHARGE '!D15:D5000,"&lt;=12/31/2020",DEC!U15:U4999,"Supported Employment staff always present.")</f>
        <v>#VALUE!</v>
      </c>
      <c r="W91" s="679"/>
      <c r="X91" s="707">
        <f>COUNTIFS('CLIENT ENROLLMENT DISCHARGE '!D15:D5000,"&gt;=01/01/2021",'CLIENT ENROLLMENT DISCHARGE '!D15:D5000,"&lt;=01/31/2021",JAN!U15:U5000,"Supported Employment staff always present.")</f>
        <v>0</v>
      </c>
      <c r="Y91" s="707"/>
      <c r="Z91" s="707">
        <f>COUNTIFS('CLIENT ENROLLMENT DISCHARGE '!D15:D5000,"&gt;=02/01/2021",'CLIENT ENROLLMENT DISCHARGE '!D15:D5000,"&lt;=02/28/2021",FEB!U15:U5000,"Supported Employment staff always present.")</f>
        <v>0</v>
      </c>
      <c r="AA91" s="707"/>
      <c r="AB91" s="707">
        <f>COUNTIFS('CLIENT ENROLLMENT DISCHARGE '!D15:D5000,"&gt;=03/01/2021",'CLIENT ENROLLMENT DISCHARGE '!D15:D5000,"&lt;=03/31/2021",MAR!U15:U5000,"Supported Employment staff always present.")</f>
        <v>0</v>
      </c>
      <c r="AC91" s="707"/>
      <c r="AD91" s="707">
        <f>COUNTIFS('CLIENT ENROLLMENT DISCHARGE '!D15:D5000,"&gt;=04/01/2021",'CLIENT ENROLLMENT DISCHARGE '!D15:D5000,"&lt;=04/30/2021",APR!U15:U5000,"Supported Employment staff always present.")</f>
        <v>0</v>
      </c>
      <c r="AE91" s="707"/>
      <c r="AF91" s="707">
        <f>COUNTIFS('CLIENT ENROLLMENT DISCHARGE '!D15:D5000,"&gt;=05/01/2021",'CLIENT ENROLLMENT DISCHARGE '!D15:D5000,"&lt;=05/31/2021",MAY!U15:U5000,"Supported Employment staff always present.")</f>
        <v>0</v>
      </c>
      <c r="AG91" s="707"/>
      <c r="AH91" s="707">
        <f>COUNTIFS('CLIENT ENROLLMENT DISCHARGE '!D15:D5000,"&gt;=06/01/2021",'CLIENT ENROLLMENT DISCHARGE '!D15:D5000,"&lt;=06/30/2021",JUNE!U15:U5000,"Supported Employment staff always present.")</f>
        <v>0</v>
      </c>
      <c r="AI91" s="707"/>
      <c r="AJ91" s="678" t="e">
        <f t="shared" si="2"/>
        <v>#VALUE!</v>
      </c>
      <c r="AK91" s="708"/>
      <c r="AL91" s="679"/>
    </row>
    <row r="92" spans="1:39" ht="24.95" customHeight="1" x14ac:dyDescent="0.25">
      <c r="A92" s="513" t="s">
        <v>99</v>
      </c>
      <c r="B92" s="514"/>
      <c r="C92" s="514"/>
      <c r="D92" s="514"/>
      <c r="E92" s="514"/>
      <c r="F92" s="514"/>
      <c r="G92" s="514"/>
      <c r="H92" s="514"/>
      <c r="I92" s="515"/>
      <c r="J92" s="516"/>
      <c r="K92" s="517"/>
      <c r="L92" s="678">
        <f>COUNTIFS('CLIENT ENROLLMENT DISCHARGE '!D15:D5000,"&gt;=07/01/2000",'CLIENT ENROLLMENT DISCHARGE '!D15:D5000,"&lt;=07/31/2020",JULY!U16:U5001,"Accommodations provided at worksite")</f>
        <v>0</v>
      </c>
      <c r="M92" s="679"/>
      <c r="N92" s="678">
        <f>COUNTIFS('CLIENT ENROLLMENT DISCHARGE '!D15:D5000,"&gt;=08/01/2020",'CLIENT ENROLLMENT DISCHARGE '!D15:D5000,"&lt;=08/31/2020",AUG!U15:U5000,"Accommodations provided at worksite")</f>
        <v>0</v>
      </c>
      <c r="O92" s="679"/>
      <c r="P92" s="678">
        <f>COUNTIFS('CLIENT ENROLLMENT DISCHARGE '!D15:D5000,"&gt;=09/01/2020",'CLIENT ENROLLMENT DISCHARGE '!D15:D5000,"&lt;=09/30/2020",SEPT!U15:U5000,"Accommodations provided at worksite")</f>
        <v>0</v>
      </c>
      <c r="Q92" s="679"/>
      <c r="R92" s="678">
        <f>COUNTIFS('CLIENT ENROLLMENT DISCHARGE '!D15:D5000,"&gt;=10/01/2020",'CLIENT ENROLLMENT DISCHARGE '!D15:D5000,"&lt;=10/31/2020",OCT!U15:U5000,"Accommodations provided at worksite")</f>
        <v>0</v>
      </c>
      <c r="S92" s="679"/>
      <c r="T92" s="678">
        <f>COUNTIFS('CLIENT ENROLLMENT DISCHARGE '!D15:D5000,"&gt;=11/01/2020",'CLIENT ENROLLMENT DISCHARGE '!D15:D5000,"&lt;=11/30/2020",NOV!U15:U5000,"Accommodations provided at worksite")</f>
        <v>0</v>
      </c>
      <c r="U92" s="679"/>
      <c r="V92" s="678" t="e">
        <f>COUNTIFS('CLIENT ENROLLMENT DISCHARGE '!D15:D5000,"&gt;=12/01/2020",'CLIENT ENROLLMENT DISCHARGE '!D15:D5000,"&lt;=12/31/2020",DEC!U15:U4999,"Accommodations provided at worksite")</f>
        <v>#VALUE!</v>
      </c>
      <c r="W92" s="679"/>
      <c r="X92" s="707">
        <f>COUNTIFS('CLIENT ENROLLMENT DISCHARGE '!D15:D5000,"&gt;=01/01/2021",'CLIENT ENROLLMENT DISCHARGE '!D15:D5000,"&lt;=01/31/2021",JAN!U15:U5000,"Accommodations provided at worksite")</f>
        <v>0</v>
      </c>
      <c r="Y92" s="707"/>
      <c r="Z92" s="707">
        <f>COUNTIFS('CLIENT ENROLLMENT DISCHARGE '!D15:D5000,"&gt;=02/01/2021",'CLIENT ENROLLMENT DISCHARGE '!D15:D5000,"&lt;=02/28/2021",FEB!U15:U5000,"Accommodations provided at worksite")</f>
        <v>0</v>
      </c>
      <c r="AA92" s="707"/>
      <c r="AB92" s="707">
        <f>COUNTIFS('CLIENT ENROLLMENT DISCHARGE '!D15:D5000,"&gt;=03/01/2021",'CLIENT ENROLLMENT DISCHARGE '!D15:D5000,"&lt;=03/31/2021",MAR!U15:U5000,"Accommodations provided at worksite")</f>
        <v>0</v>
      </c>
      <c r="AC92" s="707"/>
      <c r="AD92" s="707">
        <f>COUNTIFS('CLIENT ENROLLMENT DISCHARGE '!D15:D5000,"&gt;=04/01/2021",'CLIENT ENROLLMENT DISCHARGE '!D15:D5000,"&lt;=04/30/2021",APR!U15:U5000,"Accommodations provided at worksite")</f>
        <v>0</v>
      </c>
      <c r="AE92" s="707"/>
      <c r="AF92" s="707">
        <f>COUNTIFS('CLIENT ENROLLMENT DISCHARGE '!D15:D5000,"&gt;=05/01/2021",'CLIENT ENROLLMENT DISCHARGE '!D15:D5000,"&lt;=05/31/2021",MAY!U15:U5000,"Accommodations provided at worksite")</f>
        <v>0</v>
      </c>
      <c r="AG92" s="707"/>
      <c r="AH92" s="707">
        <f>COUNTIFS('CLIENT ENROLLMENT DISCHARGE '!D15:D5000,"&gt;=06/01/2021",'CLIENT ENROLLMENT DISCHARGE '!D15:D5000,"&lt;=06/30/2021",JUNE!U15:U5000,"Accommodations provided at worksite")</f>
        <v>0</v>
      </c>
      <c r="AI92" s="707"/>
      <c r="AJ92" s="678" t="e">
        <f t="shared" si="2"/>
        <v>#VALUE!</v>
      </c>
      <c r="AK92" s="708"/>
      <c r="AL92" s="679"/>
    </row>
    <row r="93" spans="1:39" ht="24.95" customHeight="1" x14ac:dyDescent="0.25">
      <c r="A93" s="513" t="s">
        <v>100</v>
      </c>
      <c r="B93" s="514"/>
      <c r="C93" s="514"/>
      <c r="D93" s="514"/>
      <c r="E93" s="514"/>
      <c r="F93" s="514"/>
      <c r="G93" s="514"/>
      <c r="H93" s="514"/>
      <c r="I93" s="515"/>
      <c r="J93" s="516"/>
      <c r="K93" s="517"/>
      <c r="L93" s="678">
        <f>COUNTIFS('CLIENT ENROLLMENT DISCHARGE '!D15:D5000,"&gt;=07/01/2000",'CLIENT ENROLLMENT DISCHARGE '!D15:D5000,"&lt;=07/31/2020",JULY!U16:U5001,"Group/enclave work situation")</f>
        <v>0</v>
      </c>
      <c r="M93" s="679"/>
      <c r="N93" s="678">
        <f>COUNTIFS('CLIENT ENROLLMENT DISCHARGE '!D15:D5000,"&gt;=08/01/2020",'CLIENT ENROLLMENT DISCHARGE '!D15:D5000,"&lt;=08/31/2020",AUG!U15:U5000,"Group/enclave work situation")</f>
        <v>0</v>
      </c>
      <c r="O93" s="679"/>
      <c r="P93" s="678">
        <f>COUNTIFS('CLIENT ENROLLMENT DISCHARGE '!D15:D5000,"&gt;=09/01/2020",'CLIENT ENROLLMENT DISCHARGE '!D15:D5000,"&lt;=09/30/2020",SEPT!U15:U5000,"Group/enclave work situation")</f>
        <v>0</v>
      </c>
      <c r="Q93" s="679"/>
      <c r="R93" s="678">
        <f>COUNTIFS('CLIENT ENROLLMENT DISCHARGE '!D15:D5000,"&gt;=10/01/2020",'CLIENT ENROLLMENT DISCHARGE '!D15:D5000,"&lt;=10/31/2020",OCT!U15:U5000,"Group/enclave work situation")</f>
        <v>0</v>
      </c>
      <c r="S93" s="679"/>
      <c r="T93" s="678">
        <f>COUNTIFS('CLIENT ENROLLMENT DISCHARGE '!D15:D5000,"&gt;=11/01/2020",'CLIENT ENROLLMENT DISCHARGE '!D15:D5000,"&lt;=11/30/2020",NOV!U15:U5000,"Group/enclave work situation")</f>
        <v>0</v>
      </c>
      <c r="U93" s="679"/>
      <c r="V93" s="678" t="e">
        <f>COUNTIFS('CLIENT ENROLLMENT DISCHARGE '!D15:D5000,"&gt;=12/01/2020",'CLIENT ENROLLMENT DISCHARGE '!D15:D5000,"&lt;=12/31/2020",DEC!U15:U4999,"Group/enclave work situation")</f>
        <v>#VALUE!</v>
      </c>
      <c r="W93" s="679"/>
      <c r="X93" s="707">
        <f>COUNTIFS('CLIENT ENROLLMENT DISCHARGE '!D15:D5000,"&gt;=01/01/2021",'CLIENT ENROLLMENT DISCHARGE '!D15:D5000,"&lt;=01/31/2021",JAN!U15:U5000,"Group/enclave work situation")</f>
        <v>0</v>
      </c>
      <c r="Y93" s="707"/>
      <c r="Z93" s="707">
        <f>COUNTIFS('CLIENT ENROLLMENT DISCHARGE '!D15:D5000,"&gt;=02/01/2021",'CLIENT ENROLLMENT DISCHARGE '!D15:D5000,"&lt;=02/28/2021",FEB!U15:U5000,"Group/enclave work situation")</f>
        <v>0</v>
      </c>
      <c r="AA93" s="707"/>
      <c r="AB93" s="707">
        <f>COUNTIFS('CLIENT ENROLLMENT DISCHARGE '!D15:D5000,"&gt;=03/01/2021",'CLIENT ENROLLMENT DISCHARGE '!D15:D5000,"&lt;=03/31/2021",MAR!U15:U5000,"Group/enclave work situation")</f>
        <v>0</v>
      </c>
      <c r="AC93" s="707"/>
      <c r="AD93" s="707">
        <f>COUNTIFS('CLIENT ENROLLMENT DISCHARGE '!D15:D5000,"&gt;=04/01/2021",'CLIENT ENROLLMENT DISCHARGE '!D15:D5000,"&lt;=04/30/2021",APR!U15:U5000,"Group/enclave work situation")</f>
        <v>0</v>
      </c>
      <c r="AE93" s="707"/>
      <c r="AF93" s="707">
        <f>COUNTIFS('CLIENT ENROLLMENT DISCHARGE '!D15:D5000,"&gt;=05/01/2021",'CLIENT ENROLLMENT DISCHARGE '!D15:D5000,"&lt;=05/31/2021",MAY!U15:U5000,"Group/enclave work situation")</f>
        <v>0</v>
      </c>
      <c r="AG93" s="707"/>
      <c r="AH93" s="707">
        <f>COUNTIFS('CLIENT ENROLLMENT DISCHARGE '!D15:D5000,"&gt;=06/01/2021",'CLIENT ENROLLMENT DISCHARGE '!D15:D5000,"&lt;=06/30/2021",JUNE!U15:U5000,"Group/enclave work situation")</f>
        <v>0</v>
      </c>
      <c r="AI93" s="707"/>
      <c r="AJ93" s="678" t="e">
        <f t="shared" si="2"/>
        <v>#VALUE!</v>
      </c>
      <c r="AK93" s="708"/>
      <c r="AL93" s="679"/>
    </row>
    <row r="94" spans="1:39" ht="30" customHeight="1" x14ac:dyDescent="0.3">
      <c r="A94" s="511" t="s">
        <v>204</v>
      </c>
      <c r="B94" s="512"/>
      <c r="C94" s="512"/>
      <c r="D94" s="512"/>
      <c r="E94" s="512"/>
      <c r="F94" s="512"/>
      <c r="G94" s="512"/>
      <c r="H94" s="512"/>
      <c r="I94" s="512"/>
      <c r="J94" s="531"/>
      <c r="K94" s="532"/>
      <c r="L94" s="737">
        <f>SUM(L88:L93)</f>
        <v>0</v>
      </c>
      <c r="M94" s="738"/>
      <c r="N94" s="737">
        <f>SUM(N88:N93)</f>
        <v>0</v>
      </c>
      <c r="O94" s="738"/>
      <c r="P94" s="737">
        <f>SUM(P88:P93)</f>
        <v>0</v>
      </c>
      <c r="Q94" s="738"/>
      <c r="R94" s="737">
        <f>SUM(R88:R93)</f>
        <v>0</v>
      </c>
      <c r="S94" s="738"/>
      <c r="T94" s="737">
        <f>SUM(T88:T93)</f>
        <v>0</v>
      </c>
      <c r="U94" s="738"/>
      <c r="V94" s="737" t="e">
        <f>SUM(V88:V93)</f>
        <v>#VALUE!</v>
      </c>
      <c r="W94" s="738"/>
      <c r="X94" s="737">
        <f>SUM(X88:X93)</f>
        <v>0</v>
      </c>
      <c r="Y94" s="738"/>
      <c r="Z94" s="737">
        <f>SUM(Z88:Z93)</f>
        <v>0</v>
      </c>
      <c r="AA94" s="738"/>
      <c r="AB94" s="737">
        <f>SUM(AB88:AB93)</f>
        <v>0</v>
      </c>
      <c r="AC94" s="738"/>
      <c r="AD94" s="737">
        <f>SUM(AD88:AD93)</f>
        <v>0</v>
      </c>
      <c r="AE94" s="738"/>
      <c r="AF94" s="737">
        <f>SUM(AF88:AF93)</f>
        <v>0</v>
      </c>
      <c r="AG94" s="738"/>
      <c r="AH94" s="737">
        <f>SUM(AH88:AH93)</f>
        <v>0</v>
      </c>
      <c r="AI94" s="738"/>
      <c r="AJ94" s="734" t="e">
        <f>SUM(AJ88:AJ93)</f>
        <v>#VALUE!</v>
      </c>
      <c r="AK94" s="735"/>
      <c r="AL94" s="736"/>
    </row>
    <row r="95" spans="1:39" x14ac:dyDescent="0.25">
      <c r="A95" s="518" t="s">
        <v>205</v>
      </c>
      <c r="B95" s="518"/>
      <c r="C95" s="518"/>
      <c r="D95" s="518"/>
      <c r="E95" s="518"/>
      <c r="F95" s="518"/>
      <c r="G95" s="518"/>
      <c r="H95" s="518"/>
      <c r="I95" s="518"/>
      <c r="J95" s="518"/>
      <c r="K95" s="518"/>
      <c r="L95" s="518"/>
      <c r="M95" s="518"/>
      <c r="N95" s="518"/>
      <c r="O95" s="518"/>
      <c r="P95" s="518"/>
      <c r="Q95" s="518"/>
      <c r="R95" s="518"/>
      <c r="S95" s="518"/>
      <c r="T95" s="518"/>
      <c r="U95" s="518"/>
      <c r="V95" s="518"/>
      <c r="W95" s="518"/>
      <c r="X95" s="518"/>
      <c r="Y95" s="518"/>
      <c r="Z95" s="518"/>
      <c r="AA95" s="518"/>
      <c r="AB95" s="518"/>
      <c r="AC95" s="518"/>
      <c r="AD95" s="518"/>
      <c r="AE95" s="518"/>
      <c r="AF95" s="518"/>
      <c r="AG95" s="518"/>
      <c r="AH95" s="518"/>
      <c r="AI95" s="518"/>
      <c r="AJ95" s="518"/>
      <c r="AK95" s="518"/>
      <c r="AL95" s="518"/>
    </row>
    <row r="96" spans="1:39" ht="30" customHeight="1" x14ac:dyDescent="0.25">
      <c r="A96" s="509" t="s">
        <v>206</v>
      </c>
      <c r="B96" s="510"/>
      <c r="C96" s="510"/>
      <c r="D96" s="510"/>
      <c r="E96" s="510"/>
      <c r="F96" s="510"/>
      <c r="G96" s="510"/>
      <c r="H96" s="510"/>
      <c r="I96" s="510"/>
      <c r="J96" s="519"/>
      <c r="K96" s="520"/>
      <c r="L96" s="621" t="s">
        <v>153</v>
      </c>
      <c r="M96" s="621"/>
      <c r="N96" s="621" t="s">
        <v>154</v>
      </c>
      <c r="O96" s="621"/>
      <c r="P96" s="621" t="s">
        <v>155</v>
      </c>
      <c r="Q96" s="621"/>
      <c r="R96" s="621" t="s">
        <v>156</v>
      </c>
      <c r="S96" s="621"/>
      <c r="T96" s="621" t="s">
        <v>157</v>
      </c>
      <c r="U96" s="621"/>
      <c r="V96" s="621" t="s">
        <v>158</v>
      </c>
      <c r="W96" s="621"/>
      <c r="X96" s="621" t="s">
        <v>159</v>
      </c>
      <c r="Y96" s="621"/>
      <c r="Z96" s="621" t="s">
        <v>160</v>
      </c>
      <c r="AA96" s="621"/>
      <c r="AB96" s="621" t="s">
        <v>161</v>
      </c>
      <c r="AC96" s="621"/>
      <c r="AD96" s="621" t="s">
        <v>162</v>
      </c>
      <c r="AE96" s="621"/>
      <c r="AF96" s="621" t="s">
        <v>163</v>
      </c>
      <c r="AG96" s="621"/>
      <c r="AH96" s="621" t="s">
        <v>164</v>
      </c>
      <c r="AI96" s="621"/>
      <c r="AJ96" s="729" t="s">
        <v>165</v>
      </c>
      <c r="AK96" s="730"/>
      <c r="AL96" s="730"/>
      <c r="AM96" s="731"/>
    </row>
    <row r="97" spans="1:39" ht="20.100000000000001" customHeight="1" x14ac:dyDescent="0.25">
      <c r="A97" s="525" t="s">
        <v>207</v>
      </c>
      <c r="B97" s="526"/>
      <c r="C97" s="526"/>
      <c r="D97" s="526"/>
      <c r="E97" s="526"/>
      <c r="F97" s="526"/>
      <c r="G97" s="526"/>
      <c r="H97" s="526"/>
      <c r="I97" s="526"/>
      <c r="J97" s="527"/>
      <c r="K97" s="528"/>
      <c r="L97" s="690">
        <f>COUNTIFS('BUSINESS CONTACTS'!B13:B5000,"&gt;=07/01/2020",'BUSINESS CONTACTS'!B13:B5000,"&lt;=07/31/2020",'BUSINESS CONTACTS'!E13:E5000,"Prior Contact ")</f>
        <v>0</v>
      </c>
      <c r="M97" s="691"/>
      <c r="N97" s="690">
        <f>COUNTIFS('BUSINESS CONTACTS'!B13:B5000,"&gt;=08/01/2020",'BUSINESS CONTACTS'!B13:B5000,"&lt;=08/31/2020",'BUSINESS CONTACTS'!E13:E5000,"Prior Contact ")</f>
        <v>0</v>
      </c>
      <c r="O97" s="691"/>
      <c r="P97" s="690">
        <f>COUNTIFS('BUSINESS CONTACTS'!B13:B5000,"&gt;=09/01/2020",'BUSINESS CONTACTS'!B13:B5000,"&lt;=09/30/2020",'BUSINESS CONTACTS'!E13:E5000,"Prior Contact ")</f>
        <v>0</v>
      </c>
      <c r="Q97" s="691"/>
      <c r="R97" s="690">
        <f>COUNTIFS('BUSINESS CONTACTS'!B13:B5000,"&gt;=10/01/2020",'BUSINESS CONTACTS'!B13:B5000,"&lt;=10/31/2020",'BUSINESS CONTACTS'!E13:E5000,"Prior Contact ")</f>
        <v>0</v>
      </c>
      <c r="S97" s="691"/>
      <c r="T97" s="690">
        <f>COUNTIFS('BUSINESS CONTACTS'!B13:B5000,"&gt;=11/01/2020",'BUSINESS CONTACTS'!B13:B5000,"&lt;=11/30/2020",'BUSINESS CONTACTS'!E13:E5000,"Prior Contact ")</f>
        <v>0</v>
      </c>
      <c r="U97" s="691"/>
      <c r="V97" s="690">
        <f>COUNTIFS('BUSINESS CONTACTS'!B13:B5000,"&gt;=12/01/2020",'BUSINESS CONTACTS'!B13:B5000,"&lt;=12/31/2020",'BUSINESS CONTACTS'!E13:E5000,"Prior Contact ")</f>
        <v>0</v>
      </c>
      <c r="W97" s="691"/>
      <c r="X97" s="727">
        <f>COUNTIFS('BUSINESS CONTACTS'!B13:B5000,"&gt;=01/01/2021",'BUSINESS CONTACTS'!B13:B5000,"&lt;=01/31/2021",'BUSINESS CONTACTS'!E13:E5000,"Prior Contact ")</f>
        <v>0</v>
      </c>
      <c r="Y97" s="727"/>
      <c r="Z97" s="727">
        <f>COUNTIFS('BUSINESS CONTACTS'!B13:B5000,"&gt;=02/01/2021",'BUSINESS CONTACTS'!B13:B5000,"&lt;=02/28/2021",'BUSINESS CONTACTS'!E13:E5000,"Prior Contact ")</f>
        <v>0</v>
      </c>
      <c r="AA97" s="727"/>
      <c r="AB97" s="727">
        <f>COUNTIFS('BUSINESS CONTACTS'!B13:B5000,"&gt;=03/01/2021",'BUSINESS CONTACTS'!B13:B5000,"&lt;=03/31/2021",'BUSINESS CONTACTS'!E13:E5000,"Prior Contact ")</f>
        <v>0</v>
      </c>
      <c r="AC97" s="727"/>
      <c r="AD97" s="727">
        <f>COUNTIFS('BUSINESS CONTACTS'!B13:B5000,"&gt;=04/01/2021",'BUSINESS CONTACTS'!B13:B5000,"&lt;=04/30/2021",'BUSINESS CONTACTS'!E13:E5000,"Prior Contact ")</f>
        <v>0</v>
      </c>
      <c r="AE97" s="727"/>
      <c r="AF97" s="727">
        <f>COUNTIFS('BUSINESS CONTACTS'!B13:B5000,"&gt;=05/01/2021",'BUSINESS CONTACTS'!B13:B5000,"&lt;=05/31/2021",'BUSINESS CONTACTS'!E13:E5000,"Prior Contact ")</f>
        <v>0</v>
      </c>
      <c r="AG97" s="727"/>
      <c r="AH97" s="727">
        <f>COUNTIFS('BUSINESS CONTACTS'!B13:B5000,"&gt;=06/01/2021",'BUSINESS CONTACTS'!B13:B5000,"&lt;=06/30/2021",'BUSINESS CONTACTS'!E13:E5000,"Prior Contact ")</f>
        <v>0</v>
      </c>
      <c r="AI97" s="727"/>
      <c r="AJ97" s="690">
        <f>SUM(L97:AI97)</f>
        <v>0</v>
      </c>
      <c r="AK97" s="728"/>
      <c r="AL97" s="691"/>
      <c r="AM97" s="732">
        <f>AJ97+AJ98</f>
        <v>0</v>
      </c>
    </row>
    <row r="98" spans="1:39" ht="20.100000000000001" customHeight="1" x14ac:dyDescent="0.25">
      <c r="A98" s="525" t="s">
        <v>97</v>
      </c>
      <c r="B98" s="526"/>
      <c r="C98" s="526"/>
      <c r="D98" s="526"/>
      <c r="E98" s="526"/>
      <c r="F98" s="526"/>
      <c r="G98" s="526"/>
      <c r="H98" s="526"/>
      <c r="I98" s="526"/>
      <c r="J98" s="527"/>
      <c r="K98" s="528"/>
      <c r="L98" s="690">
        <f>COUNTIFS('BUSINESS CONTACTS'!B13:B5000,"&gt;=07/01/2020",'BUSINESS CONTACTS'!B13:B5000,"&lt;=07/31/2020",'BUSINESS CONTACTS'!E13:E5000,"New Contact")</f>
        <v>0</v>
      </c>
      <c r="M98" s="691"/>
      <c r="N98" s="690">
        <f>COUNTIFS('BUSINESS CONTACTS'!B13:B5000,"&gt;=08/01/2020",'BUSINESS CONTACTS'!B13:B5000,"&lt;=08/31/2020",'BUSINESS CONTACTS'!E13:E5000,"New Contact")</f>
        <v>0</v>
      </c>
      <c r="O98" s="691"/>
      <c r="P98" s="690">
        <f>COUNTIFS('BUSINESS CONTACTS'!B13:B5000,"&gt;=09/01/2020",'BUSINESS CONTACTS'!B13:B5000,"&lt;=09/30/2020",'BUSINESS CONTACTS'!E13:E5000,"New Contact")</f>
        <v>0</v>
      </c>
      <c r="Q98" s="691"/>
      <c r="R98" s="690">
        <f>COUNTIFS('BUSINESS CONTACTS'!B13:B5000,"&gt;=10/01/2020",'BUSINESS CONTACTS'!B13:B5000,"&lt;=10/31/2020",'BUSINESS CONTACTS'!E13:E5000,"New Contact")</f>
        <v>0</v>
      </c>
      <c r="S98" s="691"/>
      <c r="T98" s="690">
        <f>COUNTIFS('BUSINESS CONTACTS'!B13:B5000,"&gt;=11/01/2020",'BUSINESS CONTACTS'!B13:B5000,"&lt;=11/30/2020",'BUSINESS CONTACTS'!E13:E5000,"New Contact")</f>
        <v>0</v>
      </c>
      <c r="U98" s="691"/>
      <c r="V98" s="690">
        <f>COUNTIFS('BUSINESS CONTACTS'!B13:B5000,"&gt;=12/01/2020",'BUSINESS CONTACTS'!B13:B5000,"&lt;=12/31/2020",'BUSINESS CONTACTS'!E13:E5000,"New Contact")</f>
        <v>0</v>
      </c>
      <c r="W98" s="691"/>
      <c r="X98" s="727">
        <f>COUNTIFS('BUSINESS CONTACTS'!B13:B5000,"&gt;=01/01/2021",'BUSINESS CONTACTS'!B13:B5000,"&lt;=01/31/2021",'BUSINESS CONTACTS'!E13:E5000,"New Contact")</f>
        <v>0</v>
      </c>
      <c r="Y98" s="727"/>
      <c r="Z98" s="727">
        <f>COUNTIFS('BUSINESS CONTACTS'!B13:B5000,"&gt;=02/01/2021",'BUSINESS CONTACTS'!B13:B5000,"&lt;=02/28/2021",'BUSINESS CONTACTS'!E13:E5000,"New Contact")</f>
        <v>0</v>
      </c>
      <c r="AA98" s="727"/>
      <c r="AB98" s="727">
        <f>COUNTIFS('BUSINESS CONTACTS'!B13:B5000,"&gt;=03/01/2021",'BUSINESS CONTACTS'!B13:B5000,"&lt;=03/31/2021",'BUSINESS CONTACTS'!E13:E5000,"New Contact")</f>
        <v>0</v>
      </c>
      <c r="AC98" s="727"/>
      <c r="AD98" s="727">
        <f>COUNTIFS('BUSINESS CONTACTS'!B13:B5000,"&gt;=04/01/2021",'BUSINESS CONTACTS'!B13:B5000,"&lt;=04/30/2021",'BUSINESS CONTACTS'!E13:E5000,"New Contact")</f>
        <v>0</v>
      </c>
      <c r="AE98" s="727"/>
      <c r="AF98" s="727">
        <f>COUNTIFS('BUSINESS CONTACTS'!B13:B5000,"&gt;=05/01/2021",'BUSINESS CONTACTS'!B13:B5000,"&lt;=05/31/2021",'BUSINESS CONTACTS'!E13:E5000,"New Contact")</f>
        <v>0</v>
      </c>
      <c r="AG98" s="727"/>
      <c r="AH98" s="727">
        <f>COUNTIFS('BUSINESS CONTACTS'!B13:B5000,"&gt;=06/01/2021",'BUSINESS CONTACTS'!B13:B5000,"&lt;=06/30/2021",'BUSINESS CONTACTS'!E13:E5000,"New Contact")</f>
        <v>0</v>
      </c>
      <c r="AI98" s="727"/>
      <c r="AJ98" s="690">
        <f>SUM(L98:AI98)</f>
        <v>0</v>
      </c>
      <c r="AK98" s="728"/>
      <c r="AL98" s="691"/>
      <c r="AM98" s="733"/>
    </row>
    <row r="99" spans="1:39" ht="30" customHeight="1" x14ac:dyDescent="0.25">
      <c r="A99" s="523" t="s">
        <v>208</v>
      </c>
      <c r="B99" s="524"/>
      <c r="C99" s="524"/>
      <c r="D99" s="524"/>
      <c r="E99" s="524"/>
      <c r="F99" s="524"/>
      <c r="G99" s="524"/>
      <c r="H99" s="524"/>
      <c r="I99" s="524"/>
      <c r="J99" s="684"/>
      <c r="K99" s="685"/>
      <c r="L99" s="610" t="s">
        <v>153</v>
      </c>
      <c r="M99" s="610"/>
      <c r="N99" s="610" t="s">
        <v>154</v>
      </c>
      <c r="O99" s="610"/>
      <c r="P99" s="610" t="s">
        <v>155</v>
      </c>
      <c r="Q99" s="610"/>
      <c r="R99" s="610">
        <v>10</v>
      </c>
      <c r="S99" s="610"/>
      <c r="T99" s="610" t="s">
        <v>157</v>
      </c>
      <c r="U99" s="610"/>
      <c r="V99" s="610" t="s">
        <v>158</v>
      </c>
      <c r="W99" s="610"/>
      <c r="X99" s="610" t="s">
        <v>159</v>
      </c>
      <c r="Y99" s="610"/>
      <c r="Z99" s="610" t="s">
        <v>160</v>
      </c>
      <c r="AA99" s="610"/>
      <c r="AB99" s="610" t="s">
        <v>161</v>
      </c>
      <c r="AC99" s="610"/>
      <c r="AD99" s="610" t="s">
        <v>162</v>
      </c>
      <c r="AE99" s="610"/>
      <c r="AF99" s="610" t="s">
        <v>163</v>
      </c>
      <c r="AG99" s="610"/>
      <c r="AH99" s="610" t="s">
        <v>164</v>
      </c>
      <c r="AI99" s="610"/>
      <c r="AJ99" s="711" t="s">
        <v>165</v>
      </c>
      <c r="AK99" s="712"/>
      <c r="AL99" s="712"/>
      <c r="AM99" s="713"/>
    </row>
    <row r="100" spans="1:39" ht="20.100000000000001" customHeight="1" x14ac:dyDescent="0.25">
      <c r="A100" s="507" t="s">
        <v>52</v>
      </c>
      <c r="B100" s="508"/>
      <c r="C100" s="508"/>
      <c r="D100" s="508"/>
      <c r="E100" s="508"/>
      <c r="F100" s="508"/>
      <c r="G100" s="508"/>
      <c r="H100" s="508"/>
      <c r="I100" s="508"/>
      <c r="J100" s="527"/>
      <c r="K100" s="528"/>
      <c r="L100" s="529">
        <f>COUNTIFS('BUSINESS CONTACTS'!B13:B5000,"&gt;=07/01/2020",'BUSINESS CONTACTS'!B13:B5000,"&lt;=07/31/2020",'BUSINESS CONTACTS'!H13:H5000,"YES")</f>
        <v>0</v>
      </c>
      <c r="M100" s="530"/>
      <c r="N100" s="529">
        <f>COUNTIFS('BUSINESS CONTACTS'!B13:B5000,"&gt;=08/01/2020",'BUSINESS CONTACTS'!B13:B5000,"&lt;=08/31/2020",'BUSINESS CONTACTS'!H13:H5000,"YES")</f>
        <v>0</v>
      </c>
      <c r="O100" s="530"/>
      <c r="P100" s="529">
        <f>COUNTIFS('BUSINESS CONTACTS'!B13:B5000,"&gt;=09/01/2020",'BUSINESS CONTACTS'!B13:B5000,"&lt;=09/30/2020",'BUSINESS CONTACTS'!H13:H5000,"YES")</f>
        <v>0</v>
      </c>
      <c r="Q100" s="530"/>
      <c r="R100" s="529">
        <f>COUNTIFS('BUSINESS CONTACTS'!B13:B5000,"&gt;=10/01/2020",'BUSINESS CONTACTS'!B13:B5000,"&lt;=10/31/2020",'BUSINESS CONTACTS'!H13:H5000,"YES")</f>
        <v>0</v>
      </c>
      <c r="S100" s="530"/>
      <c r="T100" s="529">
        <f>COUNTIFS('BUSINESS CONTACTS'!B13:B5000,"&gt;=11/01/2020",'BUSINESS CONTACTS'!B13:B5000,"&lt;=11/30/2020",'BUSINESS CONTACTS'!H13:H5000,"YES")</f>
        <v>0</v>
      </c>
      <c r="U100" s="530"/>
      <c r="V100" s="529">
        <f>COUNTIFS('BUSINESS CONTACTS'!B13:B5000,"&gt;=12/01/2020",'BUSINESS CONTACTS'!B13:B5000,"&lt;=12/31/2020",'BUSINESS CONTACTS'!H13:H5000,"YES")</f>
        <v>0</v>
      </c>
      <c r="W100" s="530"/>
      <c r="X100" s="715">
        <f>COUNTIFS('BUSINESS CONTACTS'!B13:B5000,"&gt;=01/01/2021",'BUSINESS CONTACTS'!B13:B5000,"&lt;=01/31/2021",'BUSINESS CONTACTS'!H13:H5000,"YES")</f>
        <v>0</v>
      </c>
      <c r="Y100" s="715"/>
      <c r="Z100" s="715">
        <f>COUNTIFS('BUSINESS CONTACTS'!B13:B5000,"&gt;=01/01/2021",'BUSINESS CONTACTS'!B13:B5000,"&lt;=01/31/2021",'BUSINESS CONTACTS'!H13:H5000,"YES")</f>
        <v>0</v>
      </c>
      <c r="AA100" s="715"/>
      <c r="AB100" s="715">
        <f>COUNTIFS('BUSINESS CONTACTS'!B13:B5000,"&gt;=03/01/2021",'BUSINESS CONTACTS'!B13:B5000,"&lt;=03/31/2021",'BUSINESS CONTACTS'!H13:H5000,"YES")</f>
        <v>0</v>
      </c>
      <c r="AC100" s="715"/>
      <c r="AD100" s="715">
        <f>COUNTIFS('BUSINESS CONTACTS'!B13:B5000,"&gt;=04/01/2021",'BUSINESS CONTACTS'!B13:B5000,"&lt;=04/30/2021",'BUSINESS CONTACTS'!H13:H5000,"YES")</f>
        <v>0</v>
      </c>
      <c r="AE100" s="715"/>
      <c r="AF100" s="715">
        <f>COUNTIFS('BUSINESS CONTACTS'!B13:B5000,"&gt;=05/01/2021",'BUSINESS CONTACTS'!B13:B5000,"&lt;=05/31/2021",'BUSINESS CONTACTS'!H13:H5000,"YES")</f>
        <v>0</v>
      </c>
      <c r="AG100" s="715"/>
      <c r="AH100" s="715">
        <f>COUNTIFS('BUSINESS CONTACTS'!B13:B5000,"&gt;=06/01/2021",'BUSINESS CONTACTS'!B13:B5000,"&lt;=06/30/2021",'BUSINESS CONTACTS'!H13:H5000,"YES")</f>
        <v>0</v>
      </c>
      <c r="AI100" s="715"/>
      <c r="AJ100" s="529">
        <f>SUM(L100:AH100)</f>
        <v>0</v>
      </c>
      <c r="AK100" s="607"/>
      <c r="AL100" s="530"/>
      <c r="AM100" s="709">
        <f>AJ100+AJ101</f>
        <v>0</v>
      </c>
    </row>
    <row r="101" spans="1:39" ht="20.100000000000001" customHeight="1" x14ac:dyDescent="0.25">
      <c r="A101" s="507" t="s">
        <v>43</v>
      </c>
      <c r="B101" s="508"/>
      <c r="C101" s="508"/>
      <c r="D101" s="508"/>
      <c r="E101" s="508"/>
      <c r="F101" s="508"/>
      <c r="G101" s="508"/>
      <c r="H101" s="508"/>
      <c r="I101" s="508"/>
      <c r="J101" s="527"/>
      <c r="K101" s="528"/>
      <c r="L101" s="529">
        <f>COUNTIFS('BUSINESS CONTACTS'!B13:B5000,"&gt;=07/01/2020",'BUSINESS CONTACTS'!B13:B5000,"&lt;=07/31/2020",'BUSINESS CONTACTS'!H13:H5000,"NO")</f>
        <v>0</v>
      </c>
      <c r="M101" s="530"/>
      <c r="N101" s="529">
        <f>COUNTIFS('BUSINESS CONTACTS'!B13:B5000,"&gt;=08/01/2020",'BUSINESS CONTACTS'!B13:B5000,"&lt;=08/31/2020",'BUSINESS CONTACTS'!H13:H5000,"NO")</f>
        <v>0</v>
      </c>
      <c r="O101" s="530"/>
      <c r="P101" s="529">
        <f>COUNTIFS('BUSINESS CONTACTS'!B13:B5000,"&gt;=09/01/2020",'BUSINESS CONTACTS'!B13:B5000,"&lt;=09/30/2020",'BUSINESS CONTACTS'!H13:H5000,"NO")</f>
        <v>0</v>
      </c>
      <c r="Q101" s="530"/>
      <c r="R101" s="529">
        <f>COUNTIFS('BUSINESS CONTACTS'!B13:B5000,"&gt;=10/01/2020",'BUSINESS CONTACTS'!B13:B5000,"&lt;=10/31/2020",'BUSINESS CONTACTS'!H13:H5000,"NO")</f>
        <v>0</v>
      </c>
      <c r="S101" s="530"/>
      <c r="T101" s="529">
        <f>COUNTIFS('BUSINESS CONTACTS'!B13:B5000,"&gt;=11/01/2020",'BUSINESS CONTACTS'!B13:B5000,"&lt;=11/30/2020",'BUSINESS CONTACTS'!H13:H5000,"NO")</f>
        <v>0</v>
      </c>
      <c r="U101" s="530"/>
      <c r="V101" s="529">
        <f>COUNTIFS('BUSINESS CONTACTS'!B13:B5000,"&gt;=12/01/2020",'BUSINESS CONTACTS'!B13:B5000,"&lt;=12/31/2020",'BUSINESS CONTACTS'!H13:H5000,"NO")</f>
        <v>0</v>
      </c>
      <c r="W101" s="530"/>
      <c r="X101" s="715">
        <f>COUNTIFS('BUSINESS CONTACTS'!B13:B5000,"&gt;=01/01/2021",'BUSINESS CONTACTS'!B13:B5000,"&lt;=01/31/2021",'BUSINESS CONTACTS'!H13:H5000,"NO")</f>
        <v>0</v>
      </c>
      <c r="Y101" s="715"/>
      <c r="Z101" s="715">
        <f>COUNTIFS('BUSINESS CONTACTS'!B13:B5000,"&gt;=01/01/2021",'BUSINESS CONTACTS'!B13:B5000,"&lt;=01/31/2021",'BUSINESS CONTACTS'!H13:H5000,"NO")</f>
        <v>0</v>
      </c>
      <c r="AA101" s="715"/>
      <c r="AB101" s="715">
        <f>COUNTIFS('BUSINESS CONTACTS'!B13:B5000,"&gt;=03/01/2021",'BUSINESS CONTACTS'!B13:B5000,"&lt;=03/31/2021",'BUSINESS CONTACTS'!H13:H5000,"NO")</f>
        <v>0</v>
      </c>
      <c r="AC101" s="715"/>
      <c r="AD101" s="715">
        <f>COUNTIFS('BUSINESS CONTACTS'!B13:B5000,"&gt;=04/01/2021",'BUSINESS CONTACTS'!B13:B5000,"&lt;=04/30/2021",'BUSINESS CONTACTS'!H13:H5000,"NO")</f>
        <v>0</v>
      </c>
      <c r="AE101" s="715"/>
      <c r="AF101" s="715">
        <f>COUNTIFS('BUSINESS CONTACTS'!B13:B5000,"&gt;=05/01/2021",'BUSINESS CONTACTS'!B13:B5000,"&lt;=05/31/2021",'BUSINESS CONTACTS'!H13:H5000,"NO")</f>
        <v>0</v>
      </c>
      <c r="AG101" s="715"/>
      <c r="AH101" s="715">
        <f>COUNTIFS('BUSINESS CONTACTS'!B13:B5000,"&gt;=06/01/2021",'BUSINESS CONTACTS'!B13:B5000,"&lt;=06/30/2021",'BUSINESS CONTACTS'!H13:H5000,"NO")</f>
        <v>0</v>
      </c>
      <c r="AI101" s="715"/>
      <c r="AJ101" s="529">
        <f>SUM(L101:AH101)</f>
        <v>0</v>
      </c>
      <c r="AK101" s="607"/>
      <c r="AL101" s="530"/>
      <c r="AM101" s="710"/>
    </row>
    <row r="102" spans="1:39" ht="30" customHeight="1" x14ac:dyDescent="0.25">
      <c r="A102" s="505" t="s">
        <v>209</v>
      </c>
      <c r="B102" s="506"/>
      <c r="C102" s="506"/>
      <c r="D102" s="506"/>
      <c r="E102" s="506"/>
      <c r="F102" s="506"/>
      <c r="G102" s="506"/>
      <c r="H102" s="506"/>
      <c r="I102" s="506"/>
      <c r="J102" s="684"/>
      <c r="K102" s="685"/>
      <c r="L102" s="714" t="s">
        <v>153</v>
      </c>
      <c r="M102" s="714"/>
      <c r="N102" s="714" t="s">
        <v>154</v>
      </c>
      <c r="O102" s="714"/>
      <c r="P102" s="714" t="s">
        <v>155</v>
      </c>
      <c r="Q102" s="714"/>
      <c r="R102" s="714" t="s">
        <v>156</v>
      </c>
      <c r="S102" s="714"/>
      <c r="T102" s="714" t="s">
        <v>157</v>
      </c>
      <c r="U102" s="714"/>
      <c r="V102" s="714" t="s">
        <v>158</v>
      </c>
      <c r="W102" s="714"/>
      <c r="X102" s="714" t="s">
        <v>159</v>
      </c>
      <c r="Y102" s="714"/>
      <c r="Z102" s="714" t="s">
        <v>160</v>
      </c>
      <c r="AA102" s="714"/>
      <c r="AB102" s="714" t="s">
        <v>161</v>
      </c>
      <c r="AC102" s="714"/>
      <c r="AD102" s="714" t="s">
        <v>162</v>
      </c>
      <c r="AE102" s="714"/>
      <c r="AF102" s="714" t="s">
        <v>163</v>
      </c>
      <c r="AG102" s="714"/>
      <c r="AH102" s="714" t="s">
        <v>164</v>
      </c>
      <c r="AI102" s="714"/>
      <c r="AJ102" s="716" t="s">
        <v>165</v>
      </c>
      <c r="AK102" s="717"/>
      <c r="AL102" s="717"/>
      <c r="AM102" s="718"/>
    </row>
    <row r="103" spans="1:39" ht="20.100000000000001" customHeight="1" x14ac:dyDescent="0.25">
      <c r="A103" s="503" t="s">
        <v>52</v>
      </c>
      <c r="B103" s="504"/>
      <c r="C103" s="504"/>
      <c r="D103" s="504"/>
      <c r="E103" s="504"/>
      <c r="F103" s="504"/>
      <c r="G103" s="504"/>
      <c r="H103" s="504"/>
      <c r="I103" s="504"/>
      <c r="J103" s="680"/>
      <c r="K103" s="681"/>
      <c r="L103" s="682">
        <f>COUNTIFS('BUSINESS CONTACTS'!B13:B5000,"&gt;=07/01/2020",'BUSINESS CONTACTS'!B13:B5000,"&lt;=07/31/2020",'BUSINESS CONTACTS'!H13:H5000,"YES")</f>
        <v>0</v>
      </c>
      <c r="M103" s="683"/>
      <c r="N103" s="682">
        <f>COUNTIFS('BUSINESS CONTACTS'!B13:B5000,"&gt;=08/01/2020",'BUSINESS CONTACTS'!B13:B5000,"&lt;=08/31/2020",'BUSINESS CONTACTS'!H13:H5000,"YES")</f>
        <v>0</v>
      </c>
      <c r="O103" s="683"/>
      <c r="P103" s="682">
        <f>COUNTIFS('BUSINESS CONTACTS'!B13:B5000,"&gt;=09/01/2020",'BUSINESS CONTACTS'!B13:B5000,"&lt;=09/30/2020",'BUSINESS CONTACTS'!H13:H5000,"YES")</f>
        <v>0</v>
      </c>
      <c r="Q103" s="683"/>
      <c r="R103" s="682">
        <f>COUNTIFS('BUSINESS CONTACTS'!B13:B5000,"&gt;=10/01/2020",'BUSINESS CONTACTS'!B13:B5000,"&lt;=10/31/2020",'BUSINESS CONTACTS'!H13:H5000,"YES")</f>
        <v>0</v>
      </c>
      <c r="S103" s="683"/>
      <c r="T103" s="682">
        <f>COUNTIFS('BUSINESS CONTACTS'!B13:B5000,"&gt;=11/01/2020",'BUSINESS CONTACTS'!B13:B5000,"&lt;=11/30/2020",'BUSINESS CONTACTS'!H13:H5000,"YES")</f>
        <v>0</v>
      </c>
      <c r="U103" s="683"/>
      <c r="V103" s="682">
        <f>COUNTIFS('BUSINESS CONTACTS'!B13:B5000,"&gt;=11/01/2020",'BUSINESS CONTACTS'!B13:B5000,"&lt;=11/30/2020",'BUSINESS CONTACTS'!H13:H5000,"YES")</f>
        <v>0</v>
      </c>
      <c r="W103" s="683"/>
      <c r="X103" s="726">
        <f>COUNTIFS('BUSINESS CONTACTS'!B13:B5000,"&gt;=01/01/2021",'BUSINESS CONTACTS'!B13:B5000,"&lt;=01/31/2021",'BUSINESS CONTACTS'!H13:H5000,"YES")</f>
        <v>0</v>
      </c>
      <c r="Y103" s="726"/>
      <c r="Z103" s="726">
        <f>COUNTIFS('BUSINESS CONTACTS'!B13:B5000,"&gt;=01/01/2021",'BUSINESS CONTACTS'!B13:B5000,"&lt;=01/31/2021",'BUSINESS CONTACTS'!H13:H5000,"YES")</f>
        <v>0</v>
      </c>
      <c r="AA103" s="726"/>
      <c r="AB103" s="726">
        <f>COUNTIFS('BUSINESS CONTACTS'!B13:B5000,"&gt;=03/01/2021",'BUSINESS CONTACTS'!B13:B5000,"&lt;=03/31/2021",'BUSINESS CONTACTS'!H13:H5000,"YES")</f>
        <v>0</v>
      </c>
      <c r="AC103" s="726"/>
      <c r="AD103" s="726">
        <f>COUNTIFS('BUSINESS CONTACTS'!B13:B5000,"&gt;=04/01/2021",'BUSINESS CONTACTS'!B13:B5000,"&lt;=04/30/2021",'BUSINESS CONTACTS'!H13:H5000,"YES")</f>
        <v>0</v>
      </c>
      <c r="AE103" s="726"/>
      <c r="AF103" s="726">
        <f>COUNTIFS('BUSINESS CONTACTS'!B13:B5000,"&gt;=05/01/2021",'BUSINESS CONTACTS'!B13:B5000,"&lt;=05/31/2021",'BUSINESS CONTACTS'!H13:H5000,"YES")</f>
        <v>0</v>
      </c>
      <c r="AG103" s="726"/>
      <c r="AH103" s="726">
        <f>COUNTIFS('BUSINESS CONTACTS'!B13:B5000,"&gt;=06/01/2021",'BUSINESS CONTACTS'!B13:B5000,"&lt;=06/30/2021",'BUSINESS CONTACTS'!H13:H5000,"YES")</f>
        <v>0</v>
      </c>
      <c r="AI103" s="726"/>
      <c r="AJ103" s="682">
        <f>SUM(L103:AH103)</f>
        <v>0</v>
      </c>
      <c r="AK103" s="722"/>
      <c r="AL103" s="683"/>
      <c r="AM103" s="719">
        <f>AJ103+AJ104</f>
        <v>0</v>
      </c>
    </row>
    <row r="104" spans="1:39" ht="20.100000000000001" customHeight="1" x14ac:dyDescent="0.25">
      <c r="A104" s="503" t="s">
        <v>43</v>
      </c>
      <c r="B104" s="504"/>
      <c r="C104" s="504"/>
      <c r="D104" s="504"/>
      <c r="E104" s="504"/>
      <c r="F104" s="504"/>
      <c r="G104" s="504"/>
      <c r="H104" s="504"/>
      <c r="I104" s="504"/>
      <c r="J104" s="680"/>
      <c r="K104" s="681"/>
      <c r="L104" s="682">
        <f>COUNTIFS('BUSINESS CONTACTS'!B13:B5000,"&gt;=07/01/2020",'BUSINESS CONTACTS'!B13:B5000,"&lt;=07/31/2020",'BUSINESS CONTACTS'!H13:H5000,"NO")</f>
        <v>0</v>
      </c>
      <c r="M104" s="683"/>
      <c r="N104" s="682">
        <f>COUNTIFS('BUSINESS CONTACTS'!B13:B5000,"&gt;=08/01/2020",'BUSINESS CONTACTS'!B13:B5000,"&lt;=08/31/2020",'BUSINESS CONTACTS'!H13:H5000,"NO")</f>
        <v>0</v>
      </c>
      <c r="O104" s="683"/>
      <c r="P104" s="682">
        <f>COUNTIFS('BUSINESS CONTACTS'!B13:B5000,"&gt;=09/01/2020",'BUSINESS CONTACTS'!B13:B5000,"&lt;=09/30/2020",'BUSINESS CONTACTS'!H13:H5000,"NO")</f>
        <v>0</v>
      </c>
      <c r="Q104" s="683"/>
      <c r="R104" s="682">
        <f>COUNTIFS('BUSINESS CONTACTS'!B13:B5000,"&gt;=10/01/2020",'BUSINESS CONTACTS'!B13:B5000,"&lt;=10/31/2020",'BUSINESS CONTACTS'!H13:H5000,"NO")</f>
        <v>0</v>
      </c>
      <c r="S104" s="683"/>
      <c r="T104" s="682">
        <f>COUNTIFS('BUSINESS CONTACTS'!B13:B5000,"&gt;=11/01/2020",'BUSINESS CONTACTS'!B13:B5000,"&lt;=11/30/2020",'BUSINESS CONTACTS'!H13:H5000,"NO")</f>
        <v>0</v>
      </c>
      <c r="U104" s="683"/>
      <c r="V104" s="682">
        <f>COUNTIFS('BUSINESS CONTACTS'!B13:B5000,"&gt;=11/01/2020",'BUSINESS CONTACTS'!B13:B5000,"&lt;=11/30/2020",'BUSINESS CONTACTS'!H13:H5000,"NO")</f>
        <v>0</v>
      </c>
      <c r="W104" s="683"/>
      <c r="X104" s="726">
        <f>COUNTIFS('BUSINESS CONTACTS'!B13:B5000,"&gt;=01/01/2021",'BUSINESS CONTACTS'!B13:B5000,"&lt;=01/31/2021",'BUSINESS CONTACTS'!H13:H5000,"NO")</f>
        <v>0</v>
      </c>
      <c r="Y104" s="726"/>
      <c r="Z104" s="726">
        <f>COUNTIFS('BUSINESS CONTACTS'!B13:B5000,"&gt;=01/01/2021",'BUSINESS CONTACTS'!B13:B5000,"&lt;=01/31/2021",'BUSINESS CONTACTS'!H13:H5000,"NO")</f>
        <v>0</v>
      </c>
      <c r="AA104" s="726"/>
      <c r="AB104" s="726">
        <f>COUNTIFS('BUSINESS CONTACTS'!B13:B5000,"&gt;=03/01/2021",'BUSINESS CONTACTS'!B13:B5000,"&lt;=03/31/2021",'BUSINESS CONTACTS'!H13:H5000,"NO")</f>
        <v>0</v>
      </c>
      <c r="AC104" s="726"/>
      <c r="AD104" s="726">
        <f>COUNTIFS('BUSINESS CONTACTS'!B13:B5000,"&gt;=04/01/2021",'BUSINESS CONTACTS'!B13:B5000,"&lt;=04/30/2021",'BUSINESS CONTACTS'!H13:H5000,"NO")</f>
        <v>0</v>
      </c>
      <c r="AE104" s="726"/>
      <c r="AF104" s="726">
        <f>COUNTIFS('BUSINESS CONTACTS'!B13:B5000,"&gt;=05/01/2021",'BUSINESS CONTACTS'!B13:B5000,"&lt;=05/31/2021",'BUSINESS CONTACTS'!H13:H5000,"NO")</f>
        <v>0</v>
      </c>
      <c r="AG104" s="726"/>
      <c r="AH104" s="726">
        <f>COUNTIFS('BUSINESS CONTACTS'!B13:B5000,"&gt;=06/01/2021",'BUSINESS CONTACTS'!B13:B5000,"&lt;=06/30/2021",'BUSINESS CONTACTS'!H13:H5000,"NO")</f>
        <v>0</v>
      </c>
      <c r="AI104" s="726"/>
      <c r="AJ104" s="682">
        <f>SUM(L104:AH104)</f>
        <v>0</v>
      </c>
      <c r="AK104" s="722"/>
      <c r="AL104" s="683"/>
      <c r="AM104" s="720"/>
    </row>
    <row r="105" spans="1:39" x14ac:dyDescent="0.25">
      <c r="A105" s="518" t="s">
        <v>221</v>
      </c>
      <c r="B105" s="518"/>
      <c r="C105" s="518"/>
      <c r="D105" s="518"/>
      <c r="E105" s="518"/>
      <c r="F105" s="518"/>
      <c r="G105" s="518"/>
      <c r="H105" s="518"/>
      <c r="I105" s="518"/>
      <c r="J105" s="518"/>
      <c r="K105" s="518"/>
      <c r="L105" s="518"/>
      <c r="M105" s="518"/>
      <c r="N105" s="518"/>
      <c r="O105" s="518"/>
      <c r="P105" s="518"/>
      <c r="Q105" s="518"/>
      <c r="R105" s="518"/>
      <c r="S105" s="518"/>
      <c r="T105" s="518"/>
      <c r="U105" s="518"/>
      <c r="V105" s="518"/>
      <c r="W105" s="518"/>
      <c r="X105" s="518"/>
      <c r="Y105" s="518"/>
      <c r="Z105" s="518"/>
      <c r="AA105" s="518"/>
      <c r="AB105" s="518"/>
      <c r="AC105" s="518"/>
      <c r="AD105" s="518"/>
      <c r="AE105" s="518"/>
      <c r="AF105" s="518"/>
      <c r="AG105" s="518"/>
      <c r="AH105" s="518"/>
      <c r="AI105" s="518"/>
      <c r="AJ105" s="518"/>
      <c r="AK105" s="518"/>
      <c r="AL105" s="518"/>
    </row>
    <row r="106" spans="1:39" ht="20.100000000000001" customHeight="1" x14ac:dyDescent="0.25">
      <c r="A106" s="501" t="s">
        <v>222</v>
      </c>
      <c r="B106" s="502"/>
      <c r="C106" s="502"/>
      <c r="D106" s="502"/>
      <c r="E106" s="502"/>
      <c r="F106" s="502"/>
      <c r="G106" s="502"/>
      <c r="H106" s="502"/>
      <c r="I106" s="502"/>
      <c r="J106" s="519"/>
      <c r="K106" s="520"/>
      <c r="L106" s="721" t="s">
        <v>153</v>
      </c>
      <c r="M106" s="721"/>
      <c r="N106" s="721" t="s">
        <v>154</v>
      </c>
      <c r="O106" s="721"/>
      <c r="P106" s="721" t="s">
        <v>155</v>
      </c>
      <c r="Q106" s="721"/>
      <c r="R106" s="721" t="s">
        <v>156</v>
      </c>
      <c r="S106" s="721"/>
      <c r="T106" s="721" t="s">
        <v>157</v>
      </c>
      <c r="U106" s="721"/>
      <c r="V106" s="721" t="s">
        <v>158</v>
      </c>
      <c r="W106" s="721"/>
      <c r="X106" s="721" t="s">
        <v>159</v>
      </c>
      <c r="Y106" s="721"/>
      <c r="Z106" s="721" t="s">
        <v>160</v>
      </c>
      <c r="AA106" s="721"/>
      <c r="AB106" s="721" t="s">
        <v>161</v>
      </c>
      <c r="AC106" s="721"/>
      <c r="AD106" s="721" t="s">
        <v>162</v>
      </c>
      <c r="AE106" s="721"/>
      <c r="AF106" s="721" t="s">
        <v>163</v>
      </c>
      <c r="AG106" s="721"/>
      <c r="AH106" s="721" t="s">
        <v>164</v>
      </c>
      <c r="AI106" s="721"/>
      <c r="AJ106" s="721" t="s">
        <v>165</v>
      </c>
      <c r="AK106" s="721"/>
      <c r="AL106" s="721"/>
    </row>
    <row r="107" spans="1:39" ht="20.100000000000001" customHeight="1" x14ac:dyDescent="0.25">
      <c r="A107" s="498" t="s">
        <v>217</v>
      </c>
      <c r="B107" s="499"/>
      <c r="C107" s="499"/>
      <c r="D107" s="499"/>
      <c r="E107" s="499"/>
      <c r="F107" s="499"/>
      <c r="G107" s="499"/>
      <c r="H107" s="499"/>
      <c r="I107" s="500"/>
      <c r="J107" s="516"/>
      <c r="K107" s="517"/>
      <c r="L107" s="678">
        <f>COUNTIFS(PRESENTATIONS!B13:B5000,"&gt;=07/01/2000",PRESENTATIONS!B13:B5000,"&lt;=07/31/2020")</f>
        <v>0</v>
      </c>
      <c r="M107" s="679"/>
      <c r="N107" s="678">
        <f>COUNTIFS(PRESENTATIONS!B13:B5000,"&gt;=08/01/2000",PRESENTATIONS!B13:B5000,"&lt;=08/31/2020")</f>
        <v>0</v>
      </c>
      <c r="O107" s="679"/>
      <c r="P107" s="678">
        <f>COUNTIFS(PRESENTATIONS!B13:B5000,"&gt;=09/01/2000",PRESENTATIONS!B13:B5000,"&lt;=09/30/2020")</f>
        <v>0</v>
      </c>
      <c r="Q107" s="679"/>
      <c r="R107" s="678">
        <f>COUNTIFS(PRESENTATIONS!B13:B5000,"&gt;=10/01/2000",PRESENTATIONS!B13:B5000,"&lt;=10/31/2020")</f>
        <v>0</v>
      </c>
      <c r="S107" s="679"/>
      <c r="T107" s="678">
        <f>COUNTIFS(PRESENTATIONS!B13:B5000,"&gt;=11/01/2000",PRESENTATIONS!B13:B5000,"&lt;=11/30/2020")</f>
        <v>0</v>
      </c>
      <c r="U107" s="679"/>
      <c r="V107" s="678">
        <f>COUNTIFS(PRESENTATIONS!B13:B5000,"&gt;=12/01/2000",PRESENTATIONS!B13:B5000,"&lt;=12/31/2020")</f>
        <v>0</v>
      </c>
      <c r="W107" s="679"/>
      <c r="X107" s="707">
        <f>COUNTIFS(PRESENTATIONS!B13:B5000,"&gt;=01/01/2001",PRESENTATIONS!B13:B5000,"&lt;=01/31/2021")</f>
        <v>0</v>
      </c>
      <c r="Y107" s="707"/>
      <c r="Z107" s="707">
        <f>COUNTIFS(PRESENTATIONS!B13:B5000,"&gt;=02/01/2001",PRESENTATIONS!B13:B5000,"&lt;=02/28/2021")</f>
        <v>0</v>
      </c>
      <c r="AA107" s="707"/>
      <c r="AB107" s="707">
        <f>COUNTIFS(PRESENTATIONS!B13:B5000,"&gt;=03/01/2001",PRESENTATIONS!B13:B5000,"&lt;=03/31/2021")</f>
        <v>0</v>
      </c>
      <c r="AC107" s="707"/>
      <c r="AD107" s="707">
        <f>COUNTIFS(PRESENTATIONS!B13:B5000,"&gt;=04/01/2001",PRESENTATIONS!B13:B5000,"&lt;=04/30/2021")</f>
        <v>0</v>
      </c>
      <c r="AE107" s="707"/>
      <c r="AF107" s="707">
        <f>COUNTIFS(PRESENTATIONS!B13:B5000,"&gt;=05/01/2001",PRESENTATIONS!B13:B5000,"&lt;=05/31/2021")</f>
        <v>0</v>
      </c>
      <c r="AG107" s="707"/>
      <c r="AH107" s="707">
        <f>COUNTIFS(PRESENTATIONS!B13:B5000,"&gt;=06/01/2001",PRESENTATIONS!B13:B5000,"&lt;=06/30/2021")</f>
        <v>0</v>
      </c>
      <c r="AI107" s="707"/>
      <c r="AJ107" s="678">
        <f t="shared" ref="AJ107" si="3">SUM(J107:AH107)</f>
        <v>0</v>
      </c>
      <c r="AK107" s="708"/>
      <c r="AL107" s="679"/>
    </row>
  </sheetData>
  <mergeCells count="1396">
    <mergeCell ref="AJ64:AL64"/>
    <mergeCell ref="A82:I82"/>
    <mergeCell ref="J82:K82"/>
    <mergeCell ref="L82:M82"/>
    <mergeCell ref="N82:O82"/>
    <mergeCell ref="P82:Q82"/>
    <mergeCell ref="R82:S82"/>
    <mergeCell ref="T82:U82"/>
    <mergeCell ref="V82:W82"/>
    <mergeCell ref="X82:Y82"/>
    <mergeCell ref="Z82:AA82"/>
    <mergeCell ref="AB82:AC82"/>
    <mergeCell ref="AD82:AE82"/>
    <mergeCell ref="AF82:AG82"/>
    <mergeCell ref="AH82:AI82"/>
    <mergeCell ref="AJ82:AL82"/>
    <mergeCell ref="L64:M64"/>
    <mergeCell ref="N64:O64"/>
    <mergeCell ref="P64:Q64"/>
    <mergeCell ref="R64:S64"/>
    <mergeCell ref="T64:U64"/>
    <mergeCell ref="V64:W64"/>
    <mergeCell ref="X64:Y64"/>
    <mergeCell ref="Z64:AA64"/>
    <mergeCell ref="AB64:AC64"/>
    <mergeCell ref="AD64:AE64"/>
    <mergeCell ref="AF64:AG64"/>
    <mergeCell ref="AH64:AI64"/>
    <mergeCell ref="A65:I65"/>
    <mergeCell ref="J65:K65"/>
    <mergeCell ref="L65:M65"/>
    <mergeCell ref="N65:O65"/>
    <mergeCell ref="AM57:AM58"/>
    <mergeCell ref="A60:I60"/>
    <mergeCell ref="L60:M60"/>
    <mergeCell ref="N60:O60"/>
    <mergeCell ref="P60:Q60"/>
    <mergeCell ref="R60:S60"/>
    <mergeCell ref="T60:U60"/>
    <mergeCell ref="V60:W60"/>
    <mergeCell ref="X60:Y60"/>
    <mergeCell ref="Z60:AA60"/>
    <mergeCell ref="AB60:AC60"/>
    <mergeCell ref="AD60:AE60"/>
    <mergeCell ref="AF60:AG60"/>
    <mergeCell ref="AH60:AI60"/>
    <mergeCell ref="AJ60:AL60"/>
    <mergeCell ref="AM59:AM60"/>
    <mergeCell ref="A1:AL1"/>
    <mergeCell ref="A2:AL2"/>
    <mergeCell ref="A3:AL3"/>
    <mergeCell ref="A4:I4"/>
    <mergeCell ref="J4:T4"/>
    <mergeCell ref="U4:AE4"/>
    <mergeCell ref="AF4:AL4"/>
    <mergeCell ref="X58:Y58"/>
    <mergeCell ref="Z58:AA58"/>
    <mergeCell ref="AB58:AC58"/>
    <mergeCell ref="AD58:AE58"/>
    <mergeCell ref="AF58:AG58"/>
    <mergeCell ref="AH58:AI58"/>
    <mergeCell ref="A58:I58"/>
    <mergeCell ref="J58:K58"/>
    <mergeCell ref="L58:M58"/>
    <mergeCell ref="N58:O58"/>
    <mergeCell ref="P58:Q58"/>
    <mergeCell ref="R58:S58"/>
    <mergeCell ref="T58:U58"/>
    <mergeCell ref="V58:W58"/>
    <mergeCell ref="AJ58:AL58"/>
    <mergeCell ref="AJ56:AM56"/>
    <mergeCell ref="A9:AL9"/>
    <mergeCell ref="A10:AL10"/>
    <mergeCell ref="A11:AL11"/>
    <mergeCell ref="A12:AL12"/>
    <mergeCell ref="A13:I13"/>
    <mergeCell ref="J13:K13"/>
    <mergeCell ref="L13:M13"/>
    <mergeCell ref="N13:O13"/>
    <mergeCell ref="P13:Q13"/>
    <mergeCell ref="R13:S13"/>
    <mergeCell ref="N14:O14"/>
    <mergeCell ref="P14:Q14"/>
    <mergeCell ref="R14:S14"/>
    <mergeCell ref="T14:U14"/>
    <mergeCell ref="T13:U13"/>
    <mergeCell ref="V13:W13"/>
    <mergeCell ref="X13:Y13"/>
    <mergeCell ref="Z13:AA13"/>
    <mergeCell ref="AB13:AC13"/>
    <mergeCell ref="AD13:AE13"/>
    <mergeCell ref="Z16:AA16"/>
    <mergeCell ref="AB16:AC16"/>
    <mergeCell ref="AD16:AE16"/>
    <mergeCell ref="AF16:AG16"/>
    <mergeCell ref="AH16:AI16"/>
    <mergeCell ref="A5:I5"/>
    <mergeCell ref="J5:T5"/>
    <mergeCell ref="U5:AE5"/>
    <mergeCell ref="AF5:AL5"/>
    <mergeCell ref="A6:I7"/>
    <mergeCell ref="J6:T7"/>
    <mergeCell ref="U6:AE6"/>
    <mergeCell ref="AF6:AL6"/>
    <mergeCell ref="U7:AE7"/>
    <mergeCell ref="AF7:AL7"/>
    <mergeCell ref="AH14:AI14"/>
    <mergeCell ref="AJ14:AL14"/>
    <mergeCell ref="A15:I15"/>
    <mergeCell ref="J15:K15"/>
    <mergeCell ref="L15:M15"/>
    <mergeCell ref="N15:O15"/>
    <mergeCell ref="P15:Q15"/>
    <mergeCell ref="R15:S15"/>
    <mergeCell ref="T15:U15"/>
    <mergeCell ref="V15:W15"/>
    <mergeCell ref="V14:W14"/>
    <mergeCell ref="X14:Y14"/>
    <mergeCell ref="Z14:AA14"/>
    <mergeCell ref="AB14:AC14"/>
    <mergeCell ref="AD14:AE14"/>
    <mergeCell ref="AF14:AG14"/>
    <mergeCell ref="AF13:AG13"/>
    <mergeCell ref="AH13:AI13"/>
    <mergeCell ref="AJ13:AL13"/>
    <mergeCell ref="A14:I14"/>
    <mergeCell ref="J14:K14"/>
    <mergeCell ref="L14:M14"/>
    <mergeCell ref="AJ16:AL16"/>
    <mergeCell ref="AJ15:AL15"/>
    <mergeCell ref="A16:I16"/>
    <mergeCell ref="J16:K16"/>
    <mergeCell ref="L16:M16"/>
    <mergeCell ref="N16:O16"/>
    <mergeCell ref="P16:Q16"/>
    <mergeCell ref="R16:S16"/>
    <mergeCell ref="T16:U16"/>
    <mergeCell ref="V16:W16"/>
    <mergeCell ref="X16:Y16"/>
    <mergeCell ref="X15:Y15"/>
    <mergeCell ref="Z15:AA15"/>
    <mergeCell ref="AB15:AC15"/>
    <mergeCell ref="AD15:AE15"/>
    <mergeCell ref="AF15:AG15"/>
    <mergeCell ref="AH15:AI15"/>
    <mergeCell ref="AF17:AG17"/>
    <mergeCell ref="AH17:AI17"/>
    <mergeCell ref="AJ17:AL17"/>
    <mergeCell ref="A18:AL18"/>
    <mergeCell ref="A19:I19"/>
    <mergeCell ref="J19:K19"/>
    <mergeCell ref="L19:M19"/>
    <mergeCell ref="N19:O19"/>
    <mergeCell ref="P19:Q19"/>
    <mergeCell ref="R19:S19"/>
    <mergeCell ref="T17:U17"/>
    <mergeCell ref="V17:W17"/>
    <mergeCell ref="X17:Y17"/>
    <mergeCell ref="Z17:AA17"/>
    <mergeCell ref="AB17:AC17"/>
    <mergeCell ref="AD17:AE17"/>
    <mergeCell ref="A17:I17"/>
    <mergeCell ref="J17:K17"/>
    <mergeCell ref="L17:M17"/>
    <mergeCell ref="N17:O17"/>
    <mergeCell ref="P17:Q17"/>
    <mergeCell ref="R17:S17"/>
    <mergeCell ref="AH20:AI20"/>
    <mergeCell ref="AJ20:AL20"/>
    <mergeCell ref="A21:I21"/>
    <mergeCell ref="J21:K21"/>
    <mergeCell ref="L21:M21"/>
    <mergeCell ref="N21:O21"/>
    <mergeCell ref="P21:Q21"/>
    <mergeCell ref="R21:S21"/>
    <mergeCell ref="T21:U21"/>
    <mergeCell ref="V21:W21"/>
    <mergeCell ref="V20:W20"/>
    <mergeCell ref="X20:Y20"/>
    <mergeCell ref="Z20:AA20"/>
    <mergeCell ref="AB20:AC20"/>
    <mergeCell ref="AD20:AE20"/>
    <mergeCell ref="AF20:AG20"/>
    <mergeCell ref="AF19:AG19"/>
    <mergeCell ref="AH19:AI19"/>
    <mergeCell ref="AJ19:AL19"/>
    <mergeCell ref="A20:I20"/>
    <mergeCell ref="J20:K20"/>
    <mergeCell ref="L20:M20"/>
    <mergeCell ref="N20:O20"/>
    <mergeCell ref="P20:Q20"/>
    <mergeCell ref="R20:S20"/>
    <mergeCell ref="T20:U20"/>
    <mergeCell ref="T19:U19"/>
    <mergeCell ref="V19:W19"/>
    <mergeCell ref="X19:Y19"/>
    <mergeCell ref="Z19:AA19"/>
    <mergeCell ref="AB19:AC19"/>
    <mergeCell ref="AD19:AE19"/>
    <mergeCell ref="A23:I23"/>
    <mergeCell ref="J23:K23"/>
    <mergeCell ref="L23:M23"/>
    <mergeCell ref="N23:O23"/>
    <mergeCell ref="P23:Q23"/>
    <mergeCell ref="R23:S23"/>
    <mergeCell ref="Z22:AA22"/>
    <mergeCell ref="AB22:AC22"/>
    <mergeCell ref="AD22:AE22"/>
    <mergeCell ref="AF22:AG22"/>
    <mergeCell ref="AH22:AI22"/>
    <mergeCell ref="AJ22:AL22"/>
    <mergeCell ref="AJ21:AL21"/>
    <mergeCell ref="A22:I22"/>
    <mergeCell ref="J22:K22"/>
    <mergeCell ref="L22:M22"/>
    <mergeCell ref="N22:O22"/>
    <mergeCell ref="P22:Q22"/>
    <mergeCell ref="R22:S22"/>
    <mergeCell ref="T22:U22"/>
    <mergeCell ref="V22:W22"/>
    <mergeCell ref="X22:Y22"/>
    <mergeCell ref="X21:Y21"/>
    <mergeCell ref="Z21:AA21"/>
    <mergeCell ref="AB21:AC21"/>
    <mergeCell ref="AD21:AE21"/>
    <mergeCell ref="AF21:AG21"/>
    <mergeCell ref="AH21:AI21"/>
    <mergeCell ref="AH24:AI24"/>
    <mergeCell ref="AJ24:AL24"/>
    <mergeCell ref="A25:I25"/>
    <mergeCell ref="J25:K25"/>
    <mergeCell ref="L25:M25"/>
    <mergeCell ref="N25:O25"/>
    <mergeCell ref="P25:Q25"/>
    <mergeCell ref="R25:S25"/>
    <mergeCell ref="T25:U25"/>
    <mergeCell ref="V25:W25"/>
    <mergeCell ref="V24:W24"/>
    <mergeCell ref="X24:Y24"/>
    <mergeCell ref="Z24:AA24"/>
    <mergeCell ref="AB24:AC24"/>
    <mergeCell ref="AD24:AE24"/>
    <mergeCell ref="AF24:AG24"/>
    <mergeCell ref="AF23:AG23"/>
    <mergeCell ref="AH23:AI23"/>
    <mergeCell ref="AJ23:AL23"/>
    <mergeCell ref="A24:I24"/>
    <mergeCell ref="J24:K24"/>
    <mergeCell ref="L24:M24"/>
    <mergeCell ref="N24:O24"/>
    <mergeCell ref="P24:Q24"/>
    <mergeCell ref="R24:S24"/>
    <mergeCell ref="T24:U24"/>
    <mergeCell ref="T23:U23"/>
    <mergeCell ref="V23:W23"/>
    <mergeCell ref="X23:Y23"/>
    <mergeCell ref="Z23:AA23"/>
    <mergeCell ref="AB23:AC23"/>
    <mergeCell ref="AD23:AE23"/>
    <mergeCell ref="A27:I27"/>
    <mergeCell ref="J27:K27"/>
    <mergeCell ref="L27:M27"/>
    <mergeCell ref="N27:O27"/>
    <mergeCell ref="P27:Q27"/>
    <mergeCell ref="R27:S27"/>
    <mergeCell ref="Z26:AA26"/>
    <mergeCell ref="AB26:AC26"/>
    <mergeCell ref="AD26:AE26"/>
    <mergeCell ref="AF26:AG26"/>
    <mergeCell ref="AH26:AI26"/>
    <mergeCell ref="AJ26:AL26"/>
    <mergeCell ref="AJ25:AL25"/>
    <mergeCell ref="A26:I26"/>
    <mergeCell ref="J26:K26"/>
    <mergeCell ref="L26:M26"/>
    <mergeCell ref="N26:O26"/>
    <mergeCell ref="P26:Q26"/>
    <mergeCell ref="R26:S26"/>
    <mergeCell ref="T26:U26"/>
    <mergeCell ref="V26:W26"/>
    <mergeCell ref="X26:Y26"/>
    <mergeCell ref="X25:Y25"/>
    <mergeCell ref="Z25:AA25"/>
    <mergeCell ref="AB25:AC25"/>
    <mergeCell ref="AD25:AE25"/>
    <mergeCell ref="AF25:AG25"/>
    <mergeCell ref="AH25:AI25"/>
    <mergeCell ref="AH28:AI28"/>
    <mergeCell ref="AJ28:AL28"/>
    <mergeCell ref="A29:I29"/>
    <mergeCell ref="J29:K29"/>
    <mergeCell ref="L29:M29"/>
    <mergeCell ref="N29:O29"/>
    <mergeCell ref="P29:Q29"/>
    <mergeCell ref="R29:S29"/>
    <mergeCell ref="T29:U29"/>
    <mergeCell ref="V29:W29"/>
    <mergeCell ref="V28:W28"/>
    <mergeCell ref="X28:Y28"/>
    <mergeCell ref="Z28:AA28"/>
    <mergeCell ref="AB28:AC28"/>
    <mergeCell ref="AD28:AE28"/>
    <mergeCell ref="AF28:AG28"/>
    <mergeCell ref="AF27:AG27"/>
    <mergeCell ref="AH27:AI27"/>
    <mergeCell ref="AJ27:AL27"/>
    <mergeCell ref="A28:I28"/>
    <mergeCell ref="J28:K28"/>
    <mergeCell ref="L28:M28"/>
    <mergeCell ref="N28:O28"/>
    <mergeCell ref="P28:Q28"/>
    <mergeCell ref="R28:S28"/>
    <mergeCell ref="T28:U28"/>
    <mergeCell ref="T27:U27"/>
    <mergeCell ref="V27:W27"/>
    <mergeCell ref="X27:Y27"/>
    <mergeCell ref="Z27:AA27"/>
    <mergeCell ref="AB27:AC27"/>
    <mergeCell ref="AD27:AE27"/>
    <mergeCell ref="A31:I31"/>
    <mergeCell ref="J31:K31"/>
    <mergeCell ref="L31:M31"/>
    <mergeCell ref="N31:O31"/>
    <mergeCell ref="P31:Q31"/>
    <mergeCell ref="R31:S31"/>
    <mergeCell ref="Z30:AA30"/>
    <mergeCell ref="AB30:AC30"/>
    <mergeCell ref="AD30:AE30"/>
    <mergeCell ref="AF30:AG30"/>
    <mergeCell ref="AH30:AI30"/>
    <mergeCell ref="AJ30:AL30"/>
    <mergeCell ref="AJ29:AL29"/>
    <mergeCell ref="A30:I30"/>
    <mergeCell ref="J30:K30"/>
    <mergeCell ref="L30:M30"/>
    <mergeCell ref="N30:O30"/>
    <mergeCell ref="P30:Q30"/>
    <mergeCell ref="R30:S30"/>
    <mergeCell ref="T30:U30"/>
    <mergeCell ref="V30:W30"/>
    <mergeCell ref="X30:Y30"/>
    <mergeCell ref="X29:Y29"/>
    <mergeCell ref="Z29:AA29"/>
    <mergeCell ref="AB29:AC29"/>
    <mergeCell ref="AD29:AE29"/>
    <mergeCell ref="AF29:AG29"/>
    <mergeCell ref="AH29:AI29"/>
    <mergeCell ref="AH32:AI32"/>
    <mergeCell ref="AJ32:AL32"/>
    <mergeCell ref="A33:I33"/>
    <mergeCell ref="J33:K33"/>
    <mergeCell ref="L33:M33"/>
    <mergeCell ref="N33:O33"/>
    <mergeCell ref="P33:Q33"/>
    <mergeCell ref="R33:S33"/>
    <mergeCell ref="T33:U33"/>
    <mergeCell ref="V33:W33"/>
    <mergeCell ref="V32:W32"/>
    <mergeCell ref="X32:Y32"/>
    <mergeCell ref="Z32:AA32"/>
    <mergeCell ref="AB32:AC32"/>
    <mergeCell ref="AD32:AE32"/>
    <mergeCell ref="AF32:AG32"/>
    <mergeCell ref="AF31:AG31"/>
    <mergeCell ref="AH31:AI31"/>
    <mergeCell ref="AJ31:AL31"/>
    <mergeCell ref="A32:I32"/>
    <mergeCell ref="J32:K32"/>
    <mergeCell ref="L32:M32"/>
    <mergeCell ref="N32:O32"/>
    <mergeCell ref="P32:Q32"/>
    <mergeCell ref="R32:S32"/>
    <mergeCell ref="T32:U32"/>
    <mergeCell ref="T31:U31"/>
    <mergeCell ref="V31:W31"/>
    <mergeCell ref="X31:Y31"/>
    <mergeCell ref="Z31:AA31"/>
    <mergeCell ref="AB31:AC31"/>
    <mergeCell ref="AD31:AE31"/>
    <mergeCell ref="A35:I35"/>
    <mergeCell ref="J35:K35"/>
    <mergeCell ref="L35:M35"/>
    <mergeCell ref="N35:O35"/>
    <mergeCell ref="P35:Q35"/>
    <mergeCell ref="R35:S35"/>
    <mergeCell ref="Z34:AA34"/>
    <mergeCell ref="AB34:AC34"/>
    <mergeCell ref="AD34:AE34"/>
    <mergeCell ref="AF34:AG34"/>
    <mergeCell ref="AH34:AI34"/>
    <mergeCell ref="AJ34:AL34"/>
    <mergeCell ref="AJ33:AL33"/>
    <mergeCell ref="A34:I34"/>
    <mergeCell ref="J34:K34"/>
    <mergeCell ref="L34:M34"/>
    <mergeCell ref="N34:O34"/>
    <mergeCell ref="P34:Q34"/>
    <mergeCell ref="R34:S34"/>
    <mergeCell ref="T34:U34"/>
    <mergeCell ref="V34:W34"/>
    <mergeCell ref="X34:Y34"/>
    <mergeCell ref="X33:Y33"/>
    <mergeCell ref="Z33:AA33"/>
    <mergeCell ref="AB33:AC33"/>
    <mergeCell ref="AD33:AE33"/>
    <mergeCell ref="AF33:AG33"/>
    <mergeCell ref="AH33:AI33"/>
    <mergeCell ref="AH36:AI36"/>
    <mergeCell ref="AJ36:AL36"/>
    <mergeCell ref="A37:I37"/>
    <mergeCell ref="J37:K37"/>
    <mergeCell ref="L37:M37"/>
    <mergeCell ref="N37:O37"/>
    <mergeCell ref="P37:Q37"/>
    <mergeCell ref="R37:S37"/>
    <mergeCell ref="T37:U37"/>
    <mergeCell ref="V37:W37"/>
    <mergeCell ref="V36:W36"/>
    <mergeCell ref="X36:Y36"/>
    <mergeCell ref="Z36:AA36"/>
    <mergeCell ref="AB36:AC36"/>
    <mergeCell ref="AD36:AE36"/>
    <mergeCell ref="AF36:AG36"/>
    <mergeCell ref="AF35:AG35"/>
    <mergeCell ref="AH35:AI35"/>
    <mergeCell ref="AJ35:AL35"/>
    <mergeCell ref="A36:I36"/>
    <mergeCell ref="J36:K36"/>
    <mergeCell ref="L36:M36"/>
    <mergeCell ref="N36:O36"/>
    <mergeCell ref="P36:Q36"/>
    <mergeCell ref="R36:S36"/>
    <mergeCell ref="T36:U36"/>
    <mergeCell ref="T35:U35"/>
    <mergeCell ref="V35:W35"/>
    <mergeCell ref="X35:Y35"/>
    <mergeCell ref="Z35:AA35"/>
    <mergeCell ref="AB35:AC35"/>
    <mergeCell ref="AD35:AE35"/>
    <mergeCell ref="A39:I39"/>
    <mergeCell ref="J39:K39"/>
    <mergeCell ref="L39:M39"/>
    <mergeCell ref="N39:O39"/>
    <mergeCell ref="P39:Q39"/>
    <mergeCell ref="R39:S39"/>
    <mergeCell ref="Z38:AA38"/>
    <mergeCell ref="AB38:AC38"/>
    <mergeCell ref="AD38:AE38"/>
    <mergeCell ref="AF38:AG38"/>
    <mergeCell ref="AH38:AI38"/>
    <mergeCell ref="AJ38:AL38"/>
    <mergeCell ref="AJ37:AL37"/>
    <mergeCell ref="A38:I38"/>
    <mergeCell ref="J38:K38"/>
    <mergeCell ref="L38:M38"/>
    <mergeCell ref="N38:O38"/>
    <mergeCell ref="P38:Q38"/>
    <mergeCell ref="R38:S38"/>
    <mergeCell ref="T38:U38"/>
    <mergeCell ref="V38:W38"/>
    <mergeCell ref="X38:Y38"/>
    <mergeCell ref="X37:Y37"/>
    <mergeCell ref="Z37:AA37"/>
    <mergeCell ref="AB37:AC37"/>
    <mergeCell ref="AD37:AE37"/>
    <mergeCell ref="AF37:AG37"/>
    <mergeCell ref="AH37:AI37"/>
    <mergeCell ref="AH40:AI40"/>
    <mergeCell ref="AJ40:AL40"/>
    <mergeCell ref="A41:I41"/>
    <mergeCell ref="J41:K41"/>
    <mergeCell ref="L41:M41"/>
    <mergeCell ref="N41:O41"/>
    <mergeCell ref="P41:Q41"/>
    <mergeCell ref="R41:S41"/>
    <mergeCell ref="T41:U41"/>
    <mergeCell ref="V41:W41"/>
    <mergeCell ref="V40:W40"/>
    <mergeCell ref="X40:Y40"/>
    <mergeCell ref="Z40:AA40"/>
    <mergeCell ref="AB40:AC40"/>
    <mergeCell ref="AD40:AE40"/>
    <mergeCell ref="AF40:AG40"/>
    <mergeCell ref="AF39:AG39"/>
    <mergeCell ref="AH39:AI39"/>
    <mergeCell ref="AJ39:AL39"/>
    <mergeCell ref="A40:I40"/>
    <mergeCell ref="J40:K40"/>
    <mergeCell ref="L40:M40"/>
    <mergeCell ref="N40:O40"/>
    <mergeCell ref="P40:Q40"/>
    <mergeCell ref="R40:S40"/>
    <mergeCell ref="T40:U40"/>
    <mergeCell ref="T39:U39"/>
    <mergeCell ref="V39:W39"/>
    <mergeCell ref="X39:Y39"/>
    <mergeCell ref="Z39:AA39"/>
    <mergeCell ref="AB39:AC39"/>
    <mergeCell ref="AD39:AE39"/>
    <mergeCell ref="A43:I43"/>
    <mergeCell ref="J43:K43"/>
    <mergeCell ref="L43:M43"/>
    <mergeCell ref="N43:O43"/>
    <mergeCell ref="P43:Q43"/>
    <mergeCell ref="R43:S43"/>
    <mergeCell ref="Z42:AA42"/>
    <mergeCell ref="AB42:AC42"/>
    <mergeCell ref="AD42:AE42"/>
    <mergeCell ref="AF42:AG42"/>
    <mergeCell ref="AH42:AI42"/>
    <mergeCell ref="AJ42:AL42"/>
    <mergeCell ref="AJ41:AL41"/>
    <mergeCell ref="A42:I42"/>
    <mergeCell ref="J42:K42"/>
    <mergeCell ref="L42:M42"/>
    <mergeCell ref="N42:O42"/>
    <mergeCell ref="P42:Q42"/>
    <mergeCell ref="R42:S42"/>
    <mergeCell ref="T42:U42"/>
    <mergeCell ref="V42:W42"/>
    <mergeCell ref="X42:Y42"/>
    <mergeCell ref="X41:Y41"/>
    <mergeCell ref="Z41:AA41"/>
    <mergeCell ref="AB41:AC41"/>
    <mergeCell ref="AD41:AE41"/>
    <mergeCell ref="AF41:AG41"/>
    <mergeCell ref="AH41:AI41"/>
    <mergeCell ref="AH44:AI44"/>
    <mergeCell ref="AJ44:AL44"/>
    <mergeCell ref="A45:I45"/>
    <mergeCell ref="J45:K45"/>
    <mergeCell ref="L45:M45"/>
    <mergeCell ref="N45:O45"/>
    <mergeCell ref="P45:Q45"/>
    <mergeCell ref="R45:S45"/>
    <mergeCell ref="T45:U45"/>
    <mergeCell ref="V45:W45"/>
    <mergeCell ref="V44:W44"/>
    <mergeCell ref="X44:Y44"/>
    <mergeCell ref="Z44:AA44"/>
    <mergeCell ref="AB44:AC44"/>
    <mergeCell ref="AD44:AE44"/>
    <mergeCell ref="AF44:AG44"/>
    <mergeCell ref="AF43:AG43"/>
    <mergeCell ref="AH43:AI43"/>
    <mergeCell ref="AJ43:AL43"/>
    <mergeCell ref="A44:I44"/>
    <mergeCell ref="J44:K44"/>
    <mergeCell ref="L44:M44"/>
    <mergeCell ref="N44:O44"/>
    <mergeCell ref="P44:Q44"/>
    <mergeCell ref="R44:S44"/>
    <mergeCell ref="T44:U44"/>
    <mergeCell ref="T43:U43"/>
    <mergeCell ref="V43:W43"/>
    <mergeCell ref="X43:Y43"/>
    <mergeCell ref="Z43:AA43"/>
    <mergeCell ref="AB43:AC43"/>
    <mergeCell ref="AD43:AE43"/>
    <mergeCell ref="A47:I47"/>
    <mergeCell ref="J47:K47"/>
    <mergeCell ref="L47:M47"/>
    <mergeCell ref="N47:O47"/>
    <mergeCell ref="P47:Q47"/>
    <mergeCell ref="R47:S47"/>
    <mergeCell ref="Z46:AA46"/>
    <mergeCell ref="AB46:AC46"/>
    <mergeCell ref="AD46:AE46"/>
    <mergeCell ref="AF46:AG46"/>
    <mergeCell ref="AH46:AI46"/>
    <mergeCell ref="AJ46:AL46"/>
    <mergeCell ref="AJ45:AL45"/>
    <mergeCell ref="A46:I46"/>
    <mergeCell ref="J46:K46"/>
    <mergeCell ref="L46:M46"/>
    <mergeCell ref="N46:O46"/>
    <mergeCell ref="P46:Q46"/>
    <mergeCell ref="R46:S46"/>
    <mergeCell ref="T46:U46"/>
    <mergeCell ref="V46:W46"/>
    <mergeCell ref="X46:Y46"/>
    <mergeCell ref="X45:Y45"/>
    <mergeCell ref="Z45:AA45"/>
    <mergeCell ref="AB45:AC45"/>
    <mergeCell ref="AD45:AE45"/>
    <mergeCell ref="AF45:AG45"/>
    <mergeCell ref="AH45:AI45"/>
    <mergeCell ref="AH48:AI48"/>
    <mergeCell ref="AJ48:AL48"/>
    <mergeCell ref="A49:I49"/>
    <mergeCell ref="J49:K49"/>
    <mergeCell ref="L49:M49"/>
    <mergeCell ref="N49:O49"/>
    <mergeCell ref="P49:Q49"/>
    <mergeCell ref="R49:S49"/>
    <mergeCell ref="T49:U49"/>
    <mergeCell ref="V49:W49"/>
    <mergeCell ref="V48:W48"/>
    <mergeCell ref="X48:Y48"/>
    <mergeCell ref="Z48:AA48"/>
    <mergeCell ref="AB48:AC48"/>
    <mergeCell ref="AD48:AE48"/>
    <mergeCell ref="AF48:AG48"/>
    <mergeCell ref="AF47:AG47"/>
    <mergeCell ref="AH47:AI47"/>
    <mergeCell ref="AJ47:AL47"/>
    <mergeCell ref="A48:I48"/>
    <mergeCell ref="J48:K48"/>
    <mergeCell ref="L48:M48"/>
    <mergeCell ref="N48:O48"/>
    <mergeCell ref="P48:Q48"/>
    <mergeCell ref="R48:S48"/>
    <mergeCell ref="T48:U48"/>
    <mergeCell ref="T47:U47"/>
    <mergeCell ref="V47:W47"/>
    <mergeCell ref="X47:Y47"/>
    <mergeCell ref="Z47:AA47"/>
    <mergeCell ref="AB47:AC47"/>
    <mergeCell ref="AD47:AE47"/>
    <mergeCell ref="A51:I51"/>
    <mergeCell ref="J51:K51"/>
    <mergeCell ref="L51:M51"/>
    <mergeCell ref="N51:O51"/>
    <mergeCell ref="P51:Q51"/>
    <mergeCell ref="R51:S51"/>
    <mergeCell ref="Z50:AA50"/>
    <mergeCell ref="AB50:AC50"/>
    <mergeCell ref="AD50:AE50"/>
    <mergeCell ref="AF50:AG50"/>
    <mergeCell ref="AH50:AI50"/>
    <mergeCell ref="AJ50:AL50"/>
    <mergeCell ref="AJ49:AL49"/>
    <mergeCell ref="A50:I50"/>
    <mergeCell ref="J50:K50"/>
    <mergeCell ref="L50:M50"/>
    <mergeCell ref="N50:O50"/>
    <mergeCell ref="P50:Q50"/>
    <mergeCell ref="R50:S50"/>
    <mergeCell ref="T50:U50"/>
    <mergeCell ref="V50:W50"/>
    <mergeCell ref="X50:Y50"/>
    <mergeCell ref="X49:Y49"/>
    <mergeCell ref="Z49:AA49"/>
    <mergeCell ref="AB49:AC49"/>
    <mergeCell ref="AD49:AE49"/>
    <mergeCell ref="AF49:AG49"/>
    <mergeCell ref="AH49:AI49"/>
    <mergeCell ref="AH52:AI52"/>
    <mergeCell ref="AJ52:AL52"/>
    <mergeCell ref="A53:I53"/>
    <mergeCell ref="J53:K53"/>
    <mergeCell ref="L53:M53"/>
    <mergeCell ref="N53:O53"/>
    <mergeCell ref="P53:Q53"/>
    <mergeCell ref="R53:S53"/>
    <mergeCell ref="T53:U53"/>
    <mergeCell ref="V53:W53"/>
    <mergeCell ref="V52:W52"/>
    <mergeCell ref="X52:Y52"/>
    <mergeCell ref="Z52:AA52"/>
    <mergeCell ref="AB52:AC52"/>
    <mergeCell ref="AD52:AE52"/>
    <mergeCell ref="AF52:AG52"/>
    <mergeCell ref="AF51:AG51"/>
    <mergeCell ref="AH51:AI51"/>
    <mergeCell ref="AJ51:AL51"/>
    <mergeCell ref="A52:I52"/>
    <mergeCell ref="J52:K52"/>
    <mergeCell ref="L52:M52"/>
    <mergeCell ref="N52:O52"/>
    <mergeCell ref="P52:Q52"/>
    <mergeCell ref="R52:S52"/>
    <mergeCell ref="T52:U52"/>
    <mergeCell ref="T51:U51"/>
    <mergeCell ref="V51:W51"/>
    <mergeCell ref="X51:Y51"/>
    <mergeCell ref="Z51:AA51"/>
    <mergeCell ref="AB51:AC51"/>
    <mergeCell ref="AD51:AE51"/>
    <mergeCell ref="Z54:AA54"/>
    <mergeCell ref="AB54:AC54"/>
    <mergeCell ref="AD54:AE54"/>
    <mergeCell ref="AF54:AG54"/>
    <mergeCell ref="AH54:AI54"/>
    <mergeCell ref="AJ54:AL54"/>
    <mergeCell ref="AJ53:AL53"/>
    <mergeCell ref="A54:I54"/>
    <mergeCell ref="J54:K54"/>
    <mergeCell ref="L54:M54"/>
    <mergeCell ref="N54:O54"/>
    <mergeCell ref="P54:Q54"/>
    <mergeCell ref="R54:S54"/>
    <mergeCell ref="T54:U54"/>
    <mergeCell ref="V54:W54"/>
    <mergeCell ref="X54:Y54"/>
    <mergeCell ref="X53:Y53"/>
    <mergeCell ref="Z53:AA53"/>
    <mergeCell ref="AB53:AC53"/>
    <mergeCell ref="AD53:AE53"/>
    <mergeCell ref="AF53:AG53"/>
    <mergeCell ref="AH53:AI53"/>
    <mergeCell ref="A57:I57"/>
    <mergeCell ref="J57:K57"/>
    <mergeCell ref="L57:M57"/>
    <mergeCell ref="N57:O57"/>
    <mergeCell ref="P57:Q57"/>
    <mergeCell ref="R57:S57"/>
    <mergeCell ref="Z56:AA56"/>
    <mergeCell ref="AB56:AC56"/>
    <mergeCell ref="AD56:AE56"/>
    <mergeCell ref="AF56:AG56"/>
    <mergeCell ref="AH56:AI56"/>
    <mergeCell ref="A55:AL55"/>
    <mergeCell ref="A56:I56"/>
    <mergeCell ref="J56:K56"/>
    <mergeCell ref="L56:M56"/>
    <mergeCell ref="N56:O56"/>
    <mergeCell ref="P56:Q56"/>
    <mergeCell ref="R56:S56"/>
    <mergeCell ref="T56:U56"/>
    <mergeCell ref="V56:W56"/>
    <mergeCell ref="X56:Y56"/>
    <mergeCell ref="AH59:AI59"/>
    <mergeCell ref="AJ59:AL59"/>
    <mergeCell ref="A61:I61"/>
    <mergeCell ref="J61:K61"/>
    <mergeCell ref="L61:M61"/>
    <mergeCell ref="N61:O61"/>
    <mergeCell ref="P61:Q61"/>
    <mergeCell ref="R61:S61"/>
    <mergeCell ref="T61:U61"/>
    <mergeCell ref="V61:W61"/>
    <mergeCell ref="V59:W59"/>
    <mergeCell ref="X59:Y59"/>
    <mergeCell ref="Z59:AA59"/>
    <mergeCell ref="AB59:AC59"/>
    <mergeCell ref="AD59:AE59"/>
    <mergeCell ref="AF59:AG59"/>
    <mergeCell ref="AF57:AG57"/>
    <mergeCell ref="AH57:AI57"/>
    <mergeCell ref="AJ57:AL57"/>
    <mergeCell ref="A59:I59"/>
    <mergeCell ref="J59:K59"/>
    <mergeCell ref="L59:M59"/>
    <mergeCell ref="N59:O59"/>
    <mergeCell ref="P59:Q59"/>
    <mergeCell ref="R59:S59"/>
    <mergeCell ref="T59:U59"/>
    <mergeCell ref="T57:U57"/>
    <mergeCell ref="V57:W57"/>
    <mergeCell ref="X57:Y57"/>
    <mergeCell ref="Z57:AA57"/>
    <mergeCell ref="AB57:AC57"/>
    <mergeCell ref="AD57:AE57"/>
    <mergeCell ref="A63:I63"/>
    <mergeCell ref="J63:K63"/>
    <mergeCell ref="L63:M63"/>
    <mergeCell ref="N63:O63"/>
    <mergeCell ref="P63:Q63"/>
    <mergeCell ref="R63:S63"/>
    <mergeCell ref="Z62:AA62"/>
    <mergeCell ref="AB62:AC62"/>
    <mergeCell ref="AD62:AE62"/>
    <mergeCell ref="AF62:AG62"/>
    <mergeCell ref="AH62:AI62"/>
    <mergeCell ref="AJ62:AL62"/>
    <mergeCell ref="AJ61:AL61"/>
    <mergeCell ref="A62:I62"/>
    <mergeCell ref="J62:K62"/>
    <mergeCell ref="L62:M62"/>
    <mergeCell ref="N62:O62"/>
    <mergeCell ref="P62:Q62"/>
    <mergeCell ref="R62:S62"/>
    <mergeCell ref="T62:U62"/>
    <mergeCell ref="V62:W62"/>
    <mergeCell ref="X62:Y62"/>
    <mergeCell ref="X61:Y61"/>
    <mergeCell ref="Z61:AA61"/>
    <mergeCell ref="AB61:AC61"/>
    <mergeCell ref="AD61:AE61"/>
    <mergeCell ref="AF61:AG61"/>
    <mergeCell ref="AH61:AI61"/>
    <mergeCell ref="P65:Q65"/>
    <mergeCell ref="R65:S65"/>
    <mergeCell ref="T65:U65"/>
    <mergeCell ref="V65:W65"/>
    <mergeCell ref="AF63:AG63"/>
    <mergeCell ref="AH63:AI63"/>
    <mergeCell ref="AJ63:AL63"/>
    <mergeCell ref="T63:U63"/>
    <mergeCell ref="V63:W63"/>
    <mergeCell ref="X63:Y63"/>
    <mergeCell ref="Z63:AA63"/>
    <mergeCell ref="AB63:AC63"/>
    <mergeCell ref="AD63:AE63"/>
    <mergeCell ref="A67:I67"/>
    <mergeCell ref="J67:K67"/>
    <mergeCell ref="L67:M67"/>
    <mergeCell ref="N67:O67"/>
    <mergeCell ref="P67:Q67"/>
    <mergeCell ref="R67:S67"/>
    <mergeCell ref="Z66:AA66"/>
    <mergeCell ref="AB66:AC66"/>
    <mergeCell ref="AD66:AE66"/>
    <mergeCell ref="AF66:AG66"/>
    <mergeCell ref="AH66:AI66"/>
    <mergeCell ref="AJ66:AL66"/>
    <mergeCell ref="AJ65:AL65"/>
    <mergeCell ref="A66:I66"/>
    <mergeCell ref="J66:K66"/>
    <mergeCell ref="L66:M66"/>
    <mergeCell ref="N66:O66"/>
    <mergeCell ref="P66:Q66"/>
    <mergeCell ref="R66:S66"/>
    <mergeCell ref="T66:U66"/>
    <mergeCell ref="V66:W66"/>
    <mergeCell ref="X66:Y66"/>
    <mergeCell ref="X65:Y65"/>
    <mergeCell ref="Z65:AA65"/>
    <mergeCell ref="AB65:AC65"/>
    <mergeCell ref="AD65:AE65"/>
    <mergeCell ref="AF65:AG65"/>
    <mergeCell ref="AH65:AI65"/>
    <mergeCell ref="AH68:AI68"/>
    <mergeCell ref="AJ68:AL68"/>
    <mergeCell ref="A69:I69"/>
    <mergeCell ref="J69:K69"/>
    <mergeCell ref="L69:M69"/>
    <mergeCell ref="N69:O69"/>
    <mergeCell ref="P69:Q69"/>
    <mergeCell ref="R69:S69"/>
    <mergeCell ref="T69:U69"/>
    <mergeCell ref="V69:W69"/>
    <mergeCell ref="V68:W68"/>
    <mergeCell ref="X68:Y68"/>
    <mergeCell ref="Z68:AA68"/>
    <mergeCell ref="AB68:AC68"/>
    <mergeCell ref="AD68:AE68"/>
    <mergeCell ref="AF68:AG68"/>
    <mergeCell ref="AF67:AG67"/>
    <mergeCell ref="AH67:AI67"/>
    <mergeCell ref="AJ67:AL67"/>
    <mergeCell ref="A68:I68"/>
    <mergeCell ref="J68:K68"/>
    <mergeCell ref="L68:M68"/>
    <mergeCell ref="N68:O68"/>
    <mergeCell ref="P68:Q68"/>
    <mergeCell ref="R68:S68"/>
    <mergeCell ref="T68:U68"/>
    <mergeCell ref="T67:U67"/>
    <mergeCell ref="V67:W67"/>
    <mergeCell ref="X67:Y67"/>
    <mergeCell ref="Z67:AA67"/>
    <mergeCell ref="AB67:AC67"/>
    <mergeCell ref="AD67:AE67"/>
    <mergeCell ref="A71:I71"/>
    <mergeCell ref="J71:K71"/>
    <mergeCell ref="L71:M71"/>
    <mergeCell ref="N71:O71"/>
    <mergeCell ref="P71:Q71"/>
    <mergeCell ref="R71:S71"/>
    <mergeCell ref="Z70:AA70"/>
    <mergeCell ref="AB70:AC70"/>
    <mergeCell ref="AD70:AE70"/>
    <mergeCell ref="AF70:AG70"/>
    <mergeCell ref="AH70:AI70"/>
    <mergeCell ref="AJ70:AL70"/>
    <mergeCell ref="AJ69:AL69"/>
    <mergeCell ref="A70:I70"/>
    <mergeCell ref="J70:K70"/>
    <mergeCell ref="L70:M70"/>
    <mergeCell ref="N70:O70"/>
    <mergeCell ref="P70:Q70"/>
    <mergeCell ref="R70:S70"/>
    <mergeCell ref="T70:U70"/>
    <mergeCell ref="V70:W70"/>
    <mergeCell ref="X70:Y70"/>
    <mergeCell ref="X69:Y69"/>
    <mergeCell ref="Z69:AA69"/>
    <mergeCell ref="AB69:AC69"/>
    <mergeCell ref="AD69:AE69"/>
    <mergeCell ref="AF69:AG69"/>
    <mergeCell ref="AH69:AI69"/>
    <mergeCell ref="AH72:AI72"/>
    <mergeCell ref="AJ72:AL72"/>
    <mergeCell ref="A73:I73"/>
    <mergeCell ref="J73:K73"/>
    <mergeCell ref="L73:M73"/>
    <mergeCell ref="N73:O73"/>
    <mergeCell ref="P73:Q73"/>
    <mergeCell ref="R73:S73"/>
    <mergeCell ref="T73:U73"/>
    <mergeCell ref="V73:W73"/>
    <mergeCell ref="V72:W72"/>
    <mergeCell ref="X72:Y72"/>
    <mergeCell ref="Z72:AA72"/>
    <mergeCell ref="AB72:AC72"/>
    <mergeCell ref="AD72:AE72"/>
    <mergeCell ref="AF72:AG72"/>
    <mergeCell ref="AF71:AG71"/>
    <mergeCell ref="AH71:AI71"/>
    <mergeCell ref="AJ71:AL71"/>
    <mergeCell ref="A72:I72"/>
    <mergeCell ref="J72:K72"/>
    <mergeCell ref="L72:M72"/>
    <mergeCell ref="N72:O72"/>
    <mergeCell ref="P72:Q72"/>
    <mergeCell ref="R72:S72"/>
    <mergeCell ref="T72:U72"/>
    <mergeCell ref="T71:U71"/>
    <mergeCell ref="V71:W71"/>
    <mergeCell ref="X71:Y71"/>
    <mergeCell ref="Z71:AA71"/>
    <mergeCell ref="AB71:AC71"/>
    <mergeCell ref="AD71:AE71"/>
    <mergeCell ref="A75:I75"/>
    <mergeCell ref="J75:K75"/>
    <mergeCell ref="L75:M75"/>
    <mergeCell ref="N75:O75"/>
    <mergeCell ref="P75:Q75"/>
    <mergeCell ref="R75:S75"/>
    <mergeCell ref="Z74:AA74"/>
    <mergeCell ref="AB74:AC74"/>
    <mergeCell ref="AD74:AE74"/>
    <mergeCell ref="AF74:AG74"/>
    <mergeCell ref="AH74:AI74"/>
    <mergeCell ref="AJ74:AL74"/>
    <mergeCell ref="AJ73:AL73"/>
    <mergeCell ref="A74:I74"/>
    <mergeCell ref="J74:K74"/>
    <mergeCell ref="L74:M74"/>
    <mergeCell ref="N74:O74"/>
    <mergeCell ref="P74:Q74"/>
    <mergeCell ref="R74:S74"/>
    <mergeCell ref="T74:U74"/>
    <mergeCell ref="V74:W74"/>
    <mergeCell ref="X74:Y74"/>
    <mergeCell ref="X73:Y73"/>
    <mergeCell ref="Z73:AA73"/>
    <mergeCell ref="AB73:AC73"/>
    <mergeCell ref="AD73:AE73"/>
    <mergeCell ref="AF73:AG73"/>
    <mergeCell ref="AH73:AI73"/>
    <mergeCell ref="AH76:AI76"/>
    <mergeCell ref="AJ76:AL76"/>
    <mergeCell ref="A77:I77"/>
    <mergeCell ref="J77:K77"/>
    <mergeCell ref="L77:M77"/>
    <mergeCell ref="N77:O77"/>
    <mergeCell ref="P77:Q77"/>
    <mergeCell ref="R77:S77"/>
    <mergeCell ref="T77:U77"/>
    <mergeCell ref="V77:W77"/>
    <mergeCell ref="V76:W76"/>
    <mergeCell ref="X76:Y76"/>
    <mergeCell ref="Z76:AA76"/>
    <mergeCell ref="AB76:AC76"/>
    <mergeCell ref="AD76:AE76"/>
    <mergeCell ref="AF76:AG76"/>
    <mergeCell ref="AF75:AG75"/>
    <mergeCell ref="AH75:AI75"/>
    <mergeCell ref="AJ75:AL75"/>
    <mergeCell ref="A76:I76"/>
    <mergeCell ref="J76:K76"/>
    <mergeCell ref="L76:M76"/>
    <mergeCell ref="N76:O76"/>
    <mergeCell ref="P76:Q76"/>
    <mergeCell ref="R76:S76"/>
    <mergeCell ref="T76:U76"/>
    <mergeCell ref="T75:U75"/>
    <mergeCell ref="V75:W75"/>
    <mergeCell ref="X75:Y75"/>
    <mergeCell ref="Z75:AA75"/>
    <mergeCell ref="AB75:AC75"/>
    <mergeCell ref="AD75:AE75"/>
    <mergeCell ref="A79:I79"/>
    <mergeCell ref="J79:K79"/>
    <mergeCell ref="L79:M79"/>
    <mergeCell ref="N79:O79"/>
    <mergeCell ref="P79:Q79"/>
    <mergeCell ref="R79:S79"/>
    <mergeCell ref="Z78:AA78"/>
    <mergeCell ref="AB78:AC78"/>
    <mergeCell ref="AD78:AE78"/>
    <mergeCell ref="AF78:AG78"/>
    <mergeCell ref="AH78:AI78"/>
    <mergeCell ref="AJ78:AL78"/>
    <mergeCell ref="AJ77:AL77"/>
    <mergeCell ref="A78:I78"/>
    <mergeCell ref="J78:K78"/>
    <mergeCell ref="L78:M78"/>
    <mergeCell ref="N78:O78"/>
    <mergeCell ref="P78:Q78"/>
    <mergeCell ref="R78:S78"/>
    <mergeCell ref="T78:U78"/>
    <mergeCell ref="V78:W78"/>
    <mergeCell ref="X78:Y78"/>
    <mergeCell ref="X77:Y77"/>
    <mergeCell ref="Z77:AA77"/>
    <mergeCell ref="AB77:AC77"/>
    <mergeCell ref="AD77:AE77"/>
    <mergeCell ref="AF77:AG77"/>
    <mergeCell ref="AH77:AI77"/>
    <mergeCell ref="AH80:AI80"/>
    <mergeCell ref="AJ80:AL80"/>
    <mergeCell ref="A81:I81"/>
    <mergeCell ref="J81:K81"/>
    <mergeCell ref="L81:M81"/>
    <mergeCell ref="N81:O81"/>
    <mergeCell ref="P81:Q81"/>
    <mergeCell ref="R81:S81"/>
    <mergeCell ref="T81:U81"/>
    <mergeCell ref="V81:W81"/>
    <mergeCell ref="V80:W80"/>
    <mergeCell ref="X80:Y80"/>
    <mergeCell ref="Z80:AA80"/>
    <mergeCell ref="AB80:AC80"/>
    <mergeCell ref="AD80:AE80"/>
    <mergeCell ref="AF80:AG80"/>
    <mergeCell ref="AF79:AG79"/>
    <mergeCell ref="AH79:AI79"/>
    <mergeCell ref="AJ79:AL79"/>
    <mergeCell ref="A80:I80"/>
    <mergeCell ref="J80:K80"/>
    <mergeCell ref="L80:M80"/>
    <mergeCell ref="N80:O80"/>
    <mergeCell ref="P80:Q80"/>
    <mergeCell ref="R80:S80"/>
    <mergeCell ref="T80:U80"/>
    <mergeCell ref="T79:U79"/>
    <mergeCell ref="V79:W79"/>
    <mergeCell ref="X79:Y79"/>
    <mergeCell ref="Z79:AA79"/>
    <mergeCell ref="AB79:AC79"/>
    <mergeCell ref="AD79:AE79"/>
    <mergeCell ref="A84:I84"/>
    <mergeCell ref="J84:K84"/>
    <mergeCell ref="L84:M84"/>
    <mergeCell ref="N84:O84"/>
    <mergeCell ref="P84:Q84"/>
    <mergeCell ref="R84:S84"/>
    <mergeCell ref="Z83:AA83"/>
    <mergeCell ref="AB83:AC83"/>
    <mergeCell ref="AD83:AE83"/>
    <mergeCell ref="AF83:AG83"/>
    <mergeCell ref="AH83:AI83"/>
    <mergeCell ref="AJ83:AL83"/>
    <mergeCell ref="AJ81:AL81"/>
    <mergeCell ref="A83:I83"/>
    <mergeCell ref="J83:K83"/>
    <mergeCell ref="L83:M83"/>
    <mergeCell ref="N83:O83"/>
    <mergeCell ref="P83:Q83"/>
    <mergeCell ref="R83:S83"/>
    <mergeCell ref="T83:U83"/>
    <mergeCell ref="V83:W83"/>
    <mergeCell ref="X83:Y83"/>
    <mergeCell ref="X81:Y81"/>
    <mergeCell ref="Z81:AA81"/>
    <mergeCell ref="AB81:AC81"/>
    <mergeCell ref="AD81:AE81"/>
    <mergeCell ref="AF81:AG81"/>
    <mergeCell ref="AH81:AI81"/>
    <mergeCell ref="AH85:AI85"/>
    <mergeCell ref="AJ85:AL85"/>
    <mergeCell ref="A86:I86"/>
    <mergeCell ref="J86:K86"/>
    <mergeCell ref="L86:M86"/>
    <mergeCell ref="N86:O86"/>
    <mergeCell ref="P86:Q86"/>
    <mergeCell ref="R86:S86"/>
    <mergeCell ref="T86:U86"/>
    <mergeCell ref="V86:W86"/>
    <mergeCell ref="V85:W85"/>
    <mergeCell ref="X85:Y85"/>
    <mergeCell ref="Z85:AA85"/>
    <mergeCell ref="AB85:AC85"/>
    <mergeCell ref="AD85:AE85"/>
    <mergeCell ref="AF85:AG85"/>
    <mergeCell ref="AF84:AG84"/>
    <mergeCell ref="AH84:AI84"/>
    <mergeCell ref="AJ84:AL84"/>
    <mergeCell ref="A85:I85"/>
    <mergeCell ref="J85:K85"/>
    <mergeCell ref="L85:M85"/>
    <mergeCell ref="N85:O85"/>
    <mergeCell ref="P85:Q85"/>
    <mergeCell ref="R85:S85"/>
    <mergeCell ref="T85:U85"/>
    <mergeCell ref="T84:U84"/>
    <mergeCell ref="V84:W84"/>
    <mergeCell ref="X84:Y84"/>
    <mergeCell ref="Z84:AA84"/>
    <mergeCell ref="AB84:AC84"/>
    <mergeCell ref="AD84:AE84"/>
    <mergeCell ref="A88:I88"/>
    <mergeCell ref="J88:K88"/>
    <mergeCell ref="L88:M88"/>
    <mergeCell ref="N88:O88"/>
    <mergeCell ref="P88:Q88"/>
    <mergeCell ref="R88:S88"/>
    <mergeCell ref="Z87:AA87"/>
    <mergeCell ref="AB87:AC87"/>
    <mergeCell ref="AD87:AE87"/>
    <mergeCell ref="AF87:AG87"/>
    <mergeCell ref="AH87:AI87"/>
    <mergeCell ref="AJ87:AL87"/>
    <mergeCell ref="AJ86:AL86"/>
    <mergeCell ref="A87:I87"/>
    <mergeCell ref="J87:K87"/>
    <mergeCell ref="L87:M87"/>
    <mergeCell ref="N87:O87"/>
    <mergeCell ref="P87:Q87"/>
    <mergeCell ref="R87:S87"/>
    <mergeCell ref="T87:U87"/>
    <mergeCell ref="V87:W87"/>
    <mergeCell ref="X87:Y87"/>
    <mergeCell ref="X86:Y86"/>
    <mergeCell ref="Z86:AA86"/>
    <mergeCell ref="AB86:AC86"/>
    <mergeCell ref="AD86:AE86"/>
    <mergeCell ref="AF86:AG86"/>
    <mergeCell ref="AH86:AI86"/>
    <mergeCell ref="AH89:AI89"/>
    <mergeCell ref="AJ89:AL89"/>
    <mergeCell ref="A90:I90"/>
    <mergeCell ref="J90:K90"/>
    <mergeCell ref="L90:M90"/>
    <mergeCell ref="N90:O90"/>
    <mergeCell ref="P90:Q90"/>
    <mergeCell ref="R90:S90"/>
    <mergeCell ref="T90:U90"/>
    <mergeCell ref="V90:W90"/>
    <mergeCell ref="V89:W89"/>
    <mergeCell ref="X89:Y89"/>
    <mergeCell ref="Z89:AA89"/>
    <mergeCell ref="AB89:AC89"/>
    <mergeCell ref="AD89:AE89"/>
    <mergeCell ref="AF89:AG89"/>
    <mergeCell ref="AF88:AG88"/>
    <mergeCell ref="AH88:AI88"/>
    <mergeCell ref="AJ88:AL88"/>
    <mergeCell ref="A89:I89"/>
    <mergeCell ref="J89:K89"/>
    <mergeCell ref="L89:M89"/>
    <mergeCell ref="N89:O89"/>
    <mergeCell ref="P89:Q89"/>
    <mergeCell ref="R89:S89"/>
    <mergeCell ref="T89:U89"/>
    <mergeCell ref="T88:U88"/>
    <mergeCell ref="V88:W88"/>
    <mergeCell ref="X88:Y88"/>
    <mergeCell ref="Z88:AA88"/>
    <mergeCell ref="AB88:AC88"/>
    <mergeCell ref="AD88:AE88"/>
    <mergeCell ref="Z91:AA91"/>
    <mergeCell ref="AB91:AC91"/>
    <mergeCell ref="AD91:AE91"/>
    <mergeCell ref="AF91:AG91"/>
    <mergeCell ref="AH91:AI91"/>
    <mergeCell ref="AJ91:AL91"/>
    <mergeCell ref="AJ90:AL90"/>
    <mergeCell ref="A91:I91"/>
    <mergeCell ref="J91:K91"/>
    <mergeCell ref="L91:M91"/>
    <mergeCell ref="N91:O91"/>
    <mergeCell ref="P91:Q91"/>
    <mergeCell ref="R91:S91"/>
    <mergeCell ref="T91:U91"/>
    <mergeCell ref="V91:W91"/>
    <mergeCell ref="X91:Y91"/>
    <mergeCell ref="X90:Y90"/>
    <mergeCell ref="Z90:AA90"/>
    <mergeCell ref="AB90:AC90"/>
    <mergeCell ref="AD90:AE90"/>
    <mergeCell ref="AF90:AG90"/>
    <mergeCell ref="AH90:AI90"/>
    <mergeCell ref="AF92:AG92"/>
    <mergeCell ref="AH92:AI92"/>
    <mergeCell ref="AJ92:AL92"/>
    <mergeCell ref="A93:I93"/>
    <mergeCell ref="J93:K93"/>
    <mergeCell ref="L93:M93"/>
    <mergeCell ref="N93:O93"/>
    <mergeCell ref="P93:Q93"/>
    <mergeCell ref="R93:S93"/>
    <mergeCell ref="T93:U93"/>
    <mergeCell ref="T92:U92"/>
    <mergeCell ref="V92:W92"/>
    <mergeCell ref="X92:Y92"/>
    <mergeCell ref="Z92:AA92"/>
    <mergeCell ref="AB92:AC92"/>
    <mergeCell ref="AD92:AE92"/>
    <mergeCell ref="A92:I92"/>
    <mergeCell ref="J92:K92"/>
    <mergeCell ref="L92:M92"/>
    <mergeCell ref="N92:O92"/>
    <mergeCell ref="P92:Q92"/>
    <mergeCell ref="R92:S92"/>
    <mergeCell ref="AJ94:AL94"/>
    <mergeCell ref="A95:AL95"/>
    <mergeCell ref="A96:I96"/>
    <mergeCell ref="J96:K96"/>
    <mergeCell ref="L96:M96"/>
    <mergeCell ref="N96:O96"/>
    <mergeCell ref="P96:Q96"/>
    <mergeCell ref="R96:S96"/>
    <mergeCell ref="T96:U96"/>
    <mergeCell ref="V96:W96"/>
    <mergeCell ref="X94:Y94"/>
    <mergeCell ref="Z94:AA94"/>
    <mergeCell ref="AB94:AC94"/>
    <mergeCell ref="AD94:AE94"/>
    <mergeCell ref="AF94:AG94"/>
    <mergeCell ref="AH94:AI94"/>
    <mergeCell ref="AH93:AI93"/>
    <mergeCell ref="AJ93:AL93"/>
    <mergeCell ref="A94:I94"/>
    <mergeCell ref="J94:K94"/>
    <mergeCell ref="L94:M94"/>
    <mergeCell ref="N94:O94"/>
    <mergeCell ref="P94:Q94"/>
    <mergeCell ref="R94:S94"/>
    <mergeCell ref="T94:U94"/>
    <mergeCell ref="V94:W94"/>
    <mergeCell ref="V93:W93"/>
    <mergeCell ref="X93:Y93"/>
    <mergeCell ref="Z93:AA93"/>
    <mergeCell ref="AB93:AC93"/>
    <mergeCell ref="AD93:AE93"/>
    <mergeCell ref="AF93:AG93"/>
    <mergeCell ref="AH97:AI97"/>
    <mergeCell ref="AJ97:AL97"/>
    <mergeCell ref="A97:I97"/>
    <mergeCell ref="J97:K97"/>
    <mergeCell ref="L97:M97"/>
    <mergeCell ref="N97:O97"/>
    <mergeCell ref="P97:Q97"/>
    <mergeCell ref="R97:S97"/>
    <mergeCell ref="T97:U97"/>
    <mergeCell ref="V97:W97"/>
    <mergeCell ref="X97:Y97"/>
    <mergeCell ref="X96:Y96"/>
    <mergeCell ref="Z96:AA96"/>
    <mergeCell ref="AB96:AC96"/>
    <mergeCell ref="AD96:AE96"/>
    <mergeCell ref="AF96:AG96"/>
    <mergeCell ref="AH96:AI96"/>
    <mergeCell ref="AJ96:AM96"/>
    <mergeCell ref="AM97:AM98"/>
    <mergeCell ref="AF98:AG98"/>
    <mergeCell ref="AH98:AI98"/>
    <mergeCell ref="AJ98:AL98"/>
    <mergeCell ref="T99:U99"/>
    <mergeCell ref="T98:U98"/>
    <mergeCell ref="V98:W98"/>
    <mergeCell ref="X98:Y98"/>
    <mergeCell ref="Z98:AA98"/>
    <mergeCell ref="AB98:AC98"/>
    <mergeCell ref="AD98:AE98"/>
    <mergeCell ref="A98:I98"/>
    <mergeCell ref="J98:K98"/>
    <mergeCell ref="L98:M98"/>
    <mergeCell ref="N98:O98"/>
    <mergeCell ref="P98:Q98"/>
    <mergeCell ref="R98:S98"/>
    <mergeCell ref="Z97:AA97"/>
    <mergeCell ref="AB97:AC97"/>
    <mergeCell ref="AD97:AE97"/>
    <mergeCell ref="AF97:AG97"/>
    <mergeCell ref="P101:Q101"/>
    <mergeCell ref="R101:S101"/>
    <mergeCell ref="T101:U101"/>
    <mergeCell ref="V101:W101"/>
    <mergeCell ref="X101:Y101"/>
    <mergeCell ref="X100:Y100"/>
    <mergeCell ref="Z100:AA100"/>
    <mergeCell ref="AB100:AC100"/>
    <mergeCell ref="AD100:AE100"/>
    <mergeCell ref="AF100:AG100"/>
    <mergeCell ref="AH100:AI100"/>
    <mergeCell ref="AH99:AI99"/>
    <mergeCell ref="A100:I100"/>
    <mergeCell ref="J100:K100"/>
    <mergeCell ref="L100:M100"/>
    <mergeCell ref="N100:O100"/>
    <mergeCell ref="P100:Q100"/>
    <mergeCell ref="R100:S100"/>
    <mergeCell ref="T100:U100"/>
    <mergeCell ref="V100:W100"/>
    <mergeCell ref="V99:W99"/>
    <mergeCell ref="X99:Y99"/>
    <mergeCell ref="Z99:AA99"/>
    <mergeCell ref="AB99:AC99"/>
    <mergeCell ref="AD99:AE99"/>
    <mergeCell ref="AF99:AG99"/>
    <mergeCell ref="A99:I99"/>
    <mergeCell ref="J99:K99"/>
    <mergeCell ref="L99:M99"/>
    <mergeCell ref="N99:O99"/>
    <mergeCell ref="P99:Q99"/>
    <mergeCell ref="R99:S99"/>
    <mergeCell ref="J8:O8"/>
    <mergeCell ref="P8:T8"/>
    <mergeCell ref="AF8:AL8"/>
    <mergeCell ref="U8:AE8"/>
    <mergeCell ref="X104:Y104"/>
    <mergeCell ref="Z104:AA104"/>
    <mergeCell ref="AB104:AC104"/>
    <mergeCell ref="AD104:AE104"/>
    <mergeCell ref="AF104:AG104"/>
    <mergeCell ref="AH104:AI104"/>
    <mergeCell ref="AH103:AI103"/>
    <mergeCell ref="AJ103:AL103"/>
    <mergeCell ref="A104:I104"/>
    <mergeCell ref="J104:K104"/>
    <mergeCell ref="L104:M104"/>
    <mergeCell ref="N104:O104"/>
    <mergeCell ref="P104:Q104"/>
    <mergeCell ref="R104:S104"/>
    <mergeCell ref="T104:U104"/>
    <mergeCell ref="V104:W104"/>
    <mergeCell ref="V103:W103"/>
    <mergeCell ref="X103:Y103"/>
    <mergeCell ref="Z103:AA103"/>
    <mergeCell ref="AB103:AC103"/>
    <mergeCell ref="AD103:AE103"/>
    <mergeCell ref="AF103:AG103"/>
    <mergeCell ref="AF102:AG102"/>
    <mergeCell ref="AH102:AI102"/>
    <mergeCell ref="A103:I103"/>
    <mergeCell ref="J103:K103"/>
    <mergeCell ref="L103:M103"/>
    <mergeCell ref="N103:O103"/>
    <mergeCell ref="AJ102:AM102"/>
    <mergeCell ref="AM103:AM104"/>
    <mergeCell ref="A105:AL105"/>
    <mergeCell ref="A106:I106"/>
    <mergeCell ref="J106:K106"/>
    <mergeCell ref="L106:M106"/>
    <mergeCell ref="N106:O106"/>
    <mergeCell ref="P106:Q106"/>
    <mergeCell ref="R106:S106"/>
    <mergeCell ref="T106:U106"/>
    <mergeCell ref="V106:W106"/>
    <mergeCell ref="X106:Y106"/>
    <mergeCell ref="Z106:AA106"/>
    <mergeCell ref="AB106:AC106"/>
    <mergeCell ref="AD106:AE106"/>
    <mergeCell ref="AF106:AG106"/>
    <mergeCell ref="AH106:AI106"/>
    <mergeCell ref="AJ106:AL106"/>
    <mergeCell ref="AJ104:AL104"/>
    <mergeCell ref="P103:Q103"/>
    <mergeCell ref="R103:S103"/>
    <mergeCell ref="T103:U103"/>
    <mergeCell ref="T102:U102"/>
    <mergeCell ref="V102:W102"/>
    <mergeCell ref="X102:Y102"/>
    <mergeCell ref="Z102:AA102"/>
    <mergeCell ref="AB102:AC102"/>
    <mergeCell ref="AD102:AE102"/>
    <mergeCell ref="A102:I102"/>
    <mergeCell ref="J102:K102"/>
    <mergeCell ref="A107:I107"/>
    <mergeCell ref="J107:K107"/>
    <mergeCell ref="L107:M107"/>
    <mergeCell ref="N107:O107"/>
    <mergeCell ref="P107:Q107"/>
    <mergeCell ref="R107:S107"/>
    <mergeCell ref="T107:U107"/>
    <mergeCell ref="V107:W107"/>
    <mergeCell ref="X107:Y107"/>
    <mergeCell ref="Z107:AA107"/>
    <mergeCell ref="AB107:AC107"/>
    <mergeCell ref="AD107:AE107"/>
    <mergeCell ref="AF107:AG107"/>
    <mergeCell ref="AH107:AI107"/>
    <mergeCell ref="AJ107:AL107"/>
    <mergeCell ref="AM100:AM101"/>
    <mergeCell ref="AJ99:AM99"/>
    <mergeCell ref="L102:M102"/>
    <mergeCell ref="N102:O102"/>
    <mergeCell ref="P102:Q102"/>
    <mergeCell ref="R102:S102"/>
    <mergeCell ref="Z101:AA101"/>
    <mergeCell ref="AB101:AC101"/>
    <mergeCell ref="AD101:AE101"/>
    <mergeCell ref="AF101:AG101"/>
    <mergeCell ref="AH101:AI101"/>
    <mergeCell ref="AJ101:AL101"/>
    <mergeCell ref="AJ100:AL100"/>
    <mergeCell ref="A101:I101"/>
    <mergeCell ref="J101:K101"/>
    <mergeCell ref="L101:M101"/>
    <mergeCell ref="N101:O10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H1000"/>
  <sheetViews>
    <sheetView workbookViewId="0">
      <pane ySplit="1" topLeftCell="A2" activePane="bottomLeft" state="frozen"/>
      <selection pane="bottomLeft" activeCell="K11" sqref="K11"/>
    </sheetView>
  </sheetViews>
  <sheetFormatPr defaultRowHeight="15" x14ac:dyDescent="0.25"/>
  <cols>
    <col min="1" max="1" width="6.28515625" customWidth="1"/>
    <col min="2" max="2" width="14.28515625" customWidth="1"/>
    <col min="3" max="3" width="20.5703125" customWidth="1"/>
    <col min="4" max="4" width="26.42578125" customWidth="1"/>
    <col min="5" max="5" width="15" customWidth="1"/>
    <col min="6" max="6" width="37.7109375" customWidth="1"/>
    <col min="7" max="7" width="34.28515625" customWidth="1"/>
    <col min="8" max="8" width="17.5703125" customWidth="1"/>
  </cols>
  <sheetData>
    <row r="1" spans="1:8" ht="45" customHeight="1" x14ac:dyDescent="0.25">
      <c r="A1" s="134" t="s">
        <v>23</v>
      </c>
      <c r="B1" s="138" t="s">
        <v>137</v>
      </c>
      <c r="C1" s="370" t="s">
        <v>138</v>
      </c>
      <c r="D1" s="371"/>
      <c r="E1" s="135" t="s">
        <v>139</v>
      </c>
      <c r="F1" s="366" t="s">
        <v>140</v>
      </c>
      <c r="G1" s="367"/>
      <c r="H1" s="135" t="s">
        <v>141</v>
      </c>
    </row>
    <row r="2" spans="1:8" ht="15.75" x14ac:dyDescent="0.25">
      <c r="A2" s="372" t="str">
        <f>'CLIENT ENROLLMENT DISCHARGE '!A2</f>
        <v>WV Bureau for Behavioral Health and Health Facilities  - Customized Employment v20230622</v>
      </c>
      <c r="B2" s="372"/>
      <c r="C2" s="372"/>
      <c r="D2" s="372"/>
      <c r="E2" s="372"/>
      <c r="F2" s="372"/>
      <c r="G2" s="372"/>
      <c r="H2" s="372"/>
    </row>
    <row r="3" spans="1:8" x14ac:dyDescent="0.25">
      <c r="A3" s="373" t="str">
        <f>'CLIENT ENROLLMENT DISCHARGE '!A3</f>
        <v>State Fiscal Year  2024  (July 1, 2023 - June 30, 2024)</v>
      </c>
      <c r="B3" s="373"/>
      <c r="C3" s="373"/>
      <c r="D3" s="373"/>
      <c r="E3" s="373"/>
      <c r="F3" s="373"/>
      <c r="G3" s="373"/>
      <c r="H3" s="373"/>
    </row>
    <row r="4" spans="1:8" x14ac:dyDescent="0.25">
      <c r="A4" s="374" t="str">
        <f>'CLIENT ENROLLMENT DISCHARGE '!A4</f>
        <v xml:space="preserve">Program reports need to be submitted electronically, via e-mail to DHHRBBHReporting@wv.gov  within 25 calendar days of the end of each month </v>
      </c>
      <c r="B4" s="374"/>
      <c r="C4" s="374"/>
      <c r="D4" s="374"/>
      <c r="E4" s="374"/>
      <c r="F4" s="374"/>
      <c r="G4" s="374"/>
      <c r="H4" s="374"/>
    </row>
    <row r="5" spans="1:8" ht="15.75" x14ac:dyDescent="0.25">
      <c r="A5" s="383" t="s">
        <v>33</v>
      </c>
      <c r="B5" s="383"/>
      <c r="C5" s="383"/>
      <c r="D5" s="317" t="str">
        <f>'CLIENT ENROLLMENT DISCHARGE '!E5</f>
        <v>Customized Employment</v>
      </c>
      <c r="E5" s="317"/>
      <c r="F5" s="173" t="s">
        <v>32</v>
      </c>
      <c r="G5" s="377">
        <f>'CLIENT ENROLLMENT DISCHARGE '!M5</f>
        <v>0</v>
      </c>
      <c r="H5" s="377"/>
    </row>
    <row r="6" spans="1:8" ht="15.75" x14ac:dyDescent="0.25">
      <c r="A6" s="383" t="s">
        <v>31</v>
      </c>
      <c r="B6" s="383"/>
      <c r="C6" s="383"/>
      <c r="D6" s="317">
        <f>'CLIENT ENROLLMENT DISCHARGE '!E6</f>
        <v>0</v>
      </c>
      <c r="E6" s="317"/>
      <c r="F6" s="173" t="s">
        <v>30</v>
      </c>
      <c r="G6" s="378">
        <f>'CLIENT ENROLLMENT DISCHARGE '!M6</f>
        <v>0</v>
      </c>
      <c r="H6" s="378"/>
    </row>
    <row r="7" spans="1:8" ht="15.75" x14ac:dyDescent="0.25">
      <c r="A7" s="385" t="s">
        <v>29</v>
      </c>
      <c r="B7" s="385"/>
      <c r="C7" s="385"/>
      <c r="D7" s="282">
        <f>'CLIENT ENROLLMENT DISCHARGE '!E7</f>
        <v>0</v>
      </c>
      <c r="E7" s="282"/>
      <c r="F7" s="173" t="s">
        <v>124</v>
      </c>
      <c r="G7" s="378">
        <f>'CLIENT ENROLLMENT DISCHARGE '!M7</f>
        <v>0</v>
      </c>
      <c r="H7" s="378"/>
    </row>
    <row r="8" spans="1:8" ht="15.75" x14ac:dyDescent="0.25">
      <c r="A8" s="385"/>
      <c r="B8" s="385"/>
      <c r="C8" s="385"/>
      <c r="D8" s="282"/>
      <c r="E8" s="282"/>
      <c r="F8" s="174" t="s">
        <v>28</v>
      </c>
      <c r="G8" s="378">
        <f>'CLIENT ENROLLMENT DISCHARGE '!M8</f>
        <v>0</v>
      </c>
      <c r="H8" s="378"/>
    </row>
    <row r="9" spans="1:8" ht="15" customHeight="1" x14ac:dyDescent="0.25">
      <c r="A9" s="384" t="s">
        <v>27</v>
      </c>
      <c r="B9" s="384"/>
      <c r="C9" s="384"/>
      <c r="D9" s="175" t="str">
        <f>'CLIENT ENROLLMENT DISCHARGE '!E9</f>
        <v>May 1 - 31</v>
      </c>
      <c r="E9" s="175">
        <f>'CLIENT ENROLLMENT DISCHARGE '!G9</f>
        <v>2023</v>
      </c>
      <c r="F9" s="176" t="s">
        <v>142</v>
      </c>
      <c r="G9" s="378">
        <f>'CLIENT ENROLLMENT DISCHARGE '!M9</f>
        <v>0</v>
      </c>
      <c r="H9" s="378"/>
    </row>
    <row r="10" spans="1:8" ht="15" customHeight="1" x14ac:dyDescent="0.25">
      <c r="A10" s="155"/>
      <c r="B10" s="156"/>
      <c r="C10" s="156"/>
      <c r="D10" s="157"/>
      <c r="E10" s="157"/>
      <c r="F10" s="158"/>
      <c r="G10" s="159"/>
      <c r="H10" s="160"/>
    </row>
    <row r="11" spans="1:8" ht="45" customHeight="1" x14ac:dyDescent="0.25">
      <c r="A11" s="379" t="s">
        <v>25</v>
      </c>
      <c r="B11" s="380"/>
      <c r="C11" s="381" t="s">
        <v>0</v>
      </c>
      <c r="D11" s="381"/>
      <c r="E11" s="381"/>
      <c r="F11" s="381"/>
      <c r="G11" s="381"/>
      <c r="H11" s="382"/>
    </row>
    <row r="12" spans="1:8" ht="45" customHeight="1" x14ac:dyDescent="0.25">
      <c r="A12" s="134" t="s">
        <v>23</v>
      </c>
      <c r="B12" s="138" t="s">
        <v>137</v>
      </c>
      <c r="C12" s="370" t="s">
        <v>138</v>
      </c>
      <c r="D12" s="371"/>
      <c r="E12" s="135" t="s">
        <v>139</v>
      </c>
      <c r="F12" s="366" t="s">
        <v>140</v>
      </c>
      <c r="G12" s="367"/>
      <c r="H12" s="135" t="s">
        <v>141</v>
      </c>
    </row>
    <row r="13" spans="1:8" ht="45" customHeight="1" x14ac:dyDescent="0.25">
      <c r="A13" s="136">
        <f>ROW(A1)</f>
        <v>1</v>
      </c>
      <c r="B13" s="161"/>
      <c r="C13" s="368"/>
      <c r="D13" s="369"/>
      <c r="E13" s="153"/>
      <c r="F13" s="364"/>
      <c r="G13" s="365"/>
      <c r="H13" s="137"/>
    </row>
    <row r="14" spans="1:8" ht="45" customHeight="1" x14ac:dyDescent="0.25">
      <c r="A14" s="136">
        <f t="shared" ref="A14:A77" si="0">ROW(A2)</f>
        <v>2</v>
      </c>
      <c r="B14" s="161"/>
      <c r="C14" s="368"/>
      <c r="D14" s="369"/>
      <c r="E14" s="153"/>
      <c r="F14" s="364"/>
      <c r="G14" s="365"/>
      <c r="H14" s="137"/>
    </row>
    <row r="15" spans="1:8" ht="45" customHeight="1" x14ac:dyDescent="0.25">
      <c r="A15" s="136">
        <f t="shared" si="0"/>
        <v>3</v>
      </c>
      <c r="B15" s="161"/>
      <c r="C15" s="368"/>
      <c r="D15" s="369"/>
      <c r="E15" s="153"/>
      <c r="F15" s="364"/>
      <c r="G15" s="365"/>
      <c r="H15" s="137"/>
    </row>
    <row r="16" spans="1:8" ht="45" customHeight="1" x14ac:dyDescent="0.25">
      <c r="A16" s="136">
        <f t="shared" si="0"/>
        <v>4</v>
      </c>
      <c r="B16" s="161"/>
      <c r="C16" s="368"/>
      <c r="D16" s="369"/>
      <c r="E16" s="153"/>
      <c r="F16" s="364"/>
      <c r="G16" s="365"/>
      <c r="H16" s="137"/>
    </row>
    <row r="17" spans="1:8" ht="45" customHeight="1" x14ac:dyDescent="0.25">
      <c r="A17" s="136">
        <f t="shared" si="0"/>
        <v>5</v>
      </c>
      <c r="B17" s="161"/>
      <c r="C17" s="368"/>
      <c r="D17" s="369"/>
      <c r="E17" s="153"/>
      <c r="F17" s="364"/>
      <c r="G17" s="365"/>
      <c r="H17" s="137"/>
    </row>
    <row r="18" spans="1:8" ht="45" customHeight="1" x14ac:dyDescent="0.25">
      <c r="A18" s="136">
        <f t="shared" si="0"/>
        <v>6</v>
      </c>
      <c r="B18" s="161"/>
      <c r="C18" s="368"/>
      <c r="D18" s="369"/>
      <c r="E18" s="153"/>
      <c r="F18" s="364"/>
      <c r="G18" s="365"/>
      <c r="H18" s="137"/>
    </row>
    <row r="19" spans="1:8" ht="45" customHeight="1" x14ac:dyDescent="0.25">
      <c r="A19" s="136">
        <f t="shared" si="0"/>
        <v>7</v>
      </c>
      <c r="B19" s="161"/>
      <c r="C19" s="368"/>
      <c r="D19" s="369"/>
      <c r="E19" s="153"/>
      <c r="F19" s="364"/>
      <c r="G19" s="365"/>
      <c r="H19" s="137"/>
    </row>
    <row r="20" spans="1:8" ht="45" customHeight="1" x14ac:dyDescent="0.25">
      <c r="A20" s="136">
        <f t="shared" si="0"/>
        <v>8</v>
      </c>
      <c r="B20" s="161"/>
      <c r="C20" s="368"/>
      <c r="D20" s="369"/>
      <c r="E20" s="153"/>
      <c r="F20" s="364"/>
      <c r="G20" s="365"/>
      <c r="H20" s="137"/>
    </row>
    <row r="21" spans="1:8" ht="45" customHeight="1" x14ac:dyDescent="0.25">
      <c r="A21" s="136">
        <f t="shared" si="0"/>
        <v>9</v>
      </c>
      <c r="B21" s="161"/>
      <c r="C21" s="368"/>
      <c r="D21" s="369"/>
      <c r="E21" s="153"/>
      <c r="F21" s="364"/>
      <c r="G21" s="365"/>
      <c r="H21" s="137"/>
    </row>
    <row r="22" spans="1:8" ht="45" customHeight="1" x14ac:dyDescent="0.25">
      <c r="A22" s="136">
        <f t="shared" si="0"/>
        <v>10</v>
      </c>
      <c r="B22" s="161"/>
      <c r="C22" s="368"/>
      <c r="D22" s="369"/>
      <c r="E22" s="153"/>
      <c r="F22" s="364"/>
      <c r="G22" s="365"/>
      <c r="H22" s="137"/>
    </row>
    <row r="23" spans="1:8" ht="45" customHeight="1" x14ac:dyDescent="0.25">
      <c r="A23" s="136">
        <f t="shared" si="0"/>
        <v>11</v>
      </c>
      <c r="B23" s="161"/>
      <c r="C23" s="368"/>
      <c r="D23" s="369"/>
      <c r="E23" s="153"/>
      <c r="F23" s="364"/>
      <c r="G23" s="365"/>
      <c r="H23" s="137"/>
    </row>
    <row r="24" spans="1:8" ht="45" customHeight="1" x14ac:dyDescent="0.25">
      <c r="A24" s="136">
        <f t="shared" si="0"/>
        <v>12</v>
      </c>
      <c r="B24" s="161"/>
      <c r="C24" s="368"/>
      <c r="D24" s="369"/>
      <c r="E24" s="153"/>
      <c r="F24" s="364"/>
      <c r="G24" s="365"/>
      <c r="H24" s="137"/>
    </row>
    <row r="25" spans="1:8" ht="45" customHeight="1" x14ac:dyDescent="0.25">
      <c r="A25" s="136">
        <f t="shared" si="0"/>
        <v>13</v>
      </c>
      <c r="B25" s="161"/>
      <c r="C25" s="368"/>
      <c r="D25" s="369"/>
      <c r="E25" s="153"/>
      <c r="F25" s="364"/>
      <c r="G25" s="365"/>
      <c r="H25" s="137"/>
    </row>
    <row r="26" spans="1:8" ht="45" customHeight="1" x14ac:dyDescent="0.25">
      <c r="A26" s="136">
        <f t="shared" si="0"/>
        <v>14</v>
      </c>
      <c r="B26" s="161"/>
      <c r="C26" s="368"/>
      <c r="D26" s="369"/>
      <c r="E26" s="153"/>
      <c r="F26" s="364"/>
      <c r="G26" s="365"/>
      <c r="H26" s="137"/>
    </row>
    <row r="27" spans="1:8" ht="45" customHeight="1" x14ac:dyDescent="0.25">
      <c r="A27" s="136">
        <f t="shared" si="0"/>
        <v>15</v>
      </c>
      <c r="B27" s="161"/>
      <c r="C27" s="368"/>
      <c r="D27" s="369"/>
      <c r="E27" s="153"/>
      <c r="F27" s="364"/>
      <c r="G27" s="365"/>
      <c r="H27" s="137"/>
    </row>
    <row r="28" spans="1:8" ht="45" customHeight="1" x14ac:dyDescent="0.25">
      <c r="A28" s="136">
        <f t="shared" si="0"/>
        <v>16</v>
      </c>
      <c r="B28" s="161"/>
      <c r="C28" s="368"/>
      <c r="D28" s="369"/>
      <c r="E28" s="153"/>
      <c r="F28" s="364"/>
      <c r="G28" s="365"/>
      <c r="H28" s="137"/>
    </row>
    <row r="29" spans="1:8" ht="45" customHeight="1" x14ac:dyDescent="0.25">
      <c r="A29" s="136">
        <f t="shared" si="0"/>
        <v>17</v>
      </c>
      <c r="B29" s="161"/>
      <c r="C29" s="368"/>
      <c r="D29" s="369"/>
      <c r="E29" s="153"/>
      <c r="F29" s="364"/>
      <c r="G29" s="365"/>
      <c r="H29" s="137"/>
    </row>
    <row r="30" spans="1:8" ht="45" customHeight="1" x14ac:dyDescent="0.25">
      <c r="A30" s="136">
        <f t="shared" si="0"/>
        <v>18</v>
      </c>
      <c r="B30" s="161"/>
      <c r="C30" s="368"/>
      <c r="D30" s="369"/>
      <c r="E30" s="153"/>
      <c r="F30" s="364"/>
      <c r="G30" s="365"/>
      <c r="H30" s="137"/>
    </row>
    <row r="31" spans="1:8" ht="45" customHeight="1" x14ac:dyDescent="0.25">
      <c r="A31" s="136">
        <f t="shared" si="0"/>
        <v>19</v>
      </c>
      <c r="B31" s="161"/>
      <c r="C31" s="368"/>
      <c r="D31" s="369"/>
      <c r="E31" s="153"/>
      <c r="F31" s="364"/>
      <c r="G31" s="365"/>
      <c r="H31" s="137"/>
    </row>
    <row r="32" spans="1:8" ht="45" customHeight="1" x14ac:dyDescent="0.25">
      <c r="A32" s="136">
        <f t="shared" si="0"/>
        <v>20</v>
      </c>
      <c r="B32" s="161"/>
      <c r="C32" s="368"/>
      <c r="D32" s="369"/>
      <c r="E32" s="153"/>
      <c r="F32" s="364"/>
      <c r="G32" s="365"/>
      <c r="H32" s="137"/>
    </row>
    <row r="33" spans="1:8" ht="45" customHeight="1" x14ac:dyDescent="0.25">
      <c r="A33" s="136">
        <f t="shared" si="0"/>
        <v>21</v>
      </c>
      <c r="B33" s="161"/>
      <c r="C33" s="368"/>
      <c r="D33" s="369"/>
      <c r="E33" s="153"/>
      <c r="F33" s="364"/>
      <c r="G33" s="365"/>
      <c r="H33" s="137"/>
    </row>
    <row r="34" spans="1:8" ht="45" customHeight="1" x14ac:dyDescent="0.25">
      <c r="A34" s="136">
        <f t="shared" si="0"/>
        <v>22</v>
      </c>
      <c r="B34" s="161"/>
      <c r="C34" s="368"/>
      <c r="D34" s="369"/>
      <c r="E34" s="153"/>
      <c r="F34" s="364"/>
      <c r="G34" s="365"/>
      <c r="H34" s="137"/>
    </row>
    <row r="35" spans="1:8" ht="45" customHeight="1" x14ac:dyDescent="0.25">
      <c r="A35" s="136">
        <f t="shared" si="0"/>
        <v>23</v>
      </c>
      <c r="B35" s="161"/>
      <c r="C35" s="368"/>
      <c r="D35" s="369"/>
      <c r="E35" s="153"/>
      <c r="F35" s="364"/>
      <c r="G35" s="365"/>
      <c r="H35" s="137"/>
    </row>
    <row r="36" spans="1:8" ht="45" customHeight="1" x14ac:dyDescent="0.25">
      <c r="A36" s="136">
        <f t="shared" si="0"/>
        <v>24</v>
      </c>
      <c r="B36" s="161"/>
      <c r="C36" s="368"/>
      <c r="D36" s="369"/>
      <c r="E36" s="153"/>
      <c r="F36" s="364"/>
      <c r="G36" s="365"/>
      <c r="H36" s="137"/>
    </row>
    <row r="37" spans="1:8" ht="45" customHeight="1" x14ac:dyDescent="0.25">
      <c r="A37" s="136">
        <f t="shared" si="0"/>
        <v>25</v>
      </c>
      <c r="B37" s="161"/>
      <c r="C37" s="368"/>
      <c r="D37" s="369"/>
      <c r="E37" s="153"/>
      <c r="F37" s="364"/>
      <c r="G37" s="365"/>
      <c r="H37" s="137"/>
    </row>
    <row r="38" spans="1:8" ht="45" customHeight="1" x14ac:dyDescent="0.25">
      <c r="A38" s="136">
        <f t="shared" si="0"/>
        <v>26</v>
      </c>
      <c r="B38" s="161"/>
      <c r="C38" s="368"/>
      <c r="D38" s="369"/>
      <c r="E38" s="153"/>
      <c r="F38" s="364"/>
      <c r="G38" s="365"/>
      <c r="H38" s="137"/>
    </row>
    <row r="39" spans="1:8" ht="45" customHeight="1" x14ac:dyDescent="0.25">
      <c r="A39" s="136">
        <f t="shared" si="0"/>
        <v>27</v>
      </c>
      <c r="B39" s="161"/>
      <c r="C39" s="368"/>
      <c r="D39" s="369"/>
      <c r="E39" s="153"/>
      <c r="F39" s="364"/>
      <c r="G39" s="365"/>
      <c r="H39" s="137"/>
    </row>
    <row r="40" spans="1:8" ht="45" customHeight="1" x14ac:dyDescent="0.25">
      <c r="A40" s="136">
        <f t="shared" si="0"/>
        <v>28</v>
      </c>
      <c r="B40" s="161"/>
      <c r="C40" s="368"/>
      <c r="D40" s="369"/>
      <c r="E40" s="153"/>
      <c r="F40" s="364"/>
      <c r="G40" s="365"/>
      <c r="H40" s="137"/>
    </row>
    <row r="41" spans="1:8" ht="45" customHeight="1" x14ac:dyDescent="0.25">
      <c r="A41" s="136">
        <f t="shared" si="0"/>
        <v>29</v>
      </c>
      <c r="B41" s="161"/>
      <c r="C41" s="368"/>
      <c r="D41" s="369"/>
      <c r="E41" s="153"/>
      <c r="F41" s="364"/>
      <c r="G41" s="365"/>
      <c r="H41" s="137"/>
    </row>
    <row r="42" spans="1:8" ht="45" customHeight="1" x14ac:dyDescent="0.25">
      <c r="A42" s="136">
        <f t="shared" si="0"/>
        <v>30</v>
      </c>
      <c r="B42" s="161"/>
      <c r="C42" s="368"/>
      <c r="D42" s="369"/>
      <c r="E42" s="153"/>
      <c r="F42" s="364"/>
      <c r="G42" s="365"/>
      <c r="H42" s="137"/>
    </row>
    <row r="43" spans="1:8" ht="45" customHeight="1" x14ac:dyDescent="0.25">
      <c r="A43" s="136">
        <f t="shared" si="0"/>
        <v>31</v>
      </c>
      <c r="B43" s="161"/>
      <c r="C43" s="368"/>
      <c r="D43" s="369"/>
      <c r="E43" s="153"/>
      <c r="F43" s="364"/>
      <c r="G43" s="365"/>
      <c r="H43" s="137"/>
    </row>
    <row r="44" spans="1:8" ht="45" customHeight="1" x14ac:dyDescent="0.25">
      <c r="A44" s="136">
        <f t="shared" si="0"/>
        <v>32</v>
      </c>
      <c r="B44" s="161"/>
      <c r="C44" s="368"/>
      <c r="D44" s="369"/>
      <c r="E44" s="153"/>
      <c r="F44" s="364"/>
      <c r="G44" s="365"/>
      <c r="H44" s="137"/>
    </row>
    <row r="45" spans="1:8" ht="45" customHeight="1" x14ac:dyDescent="0.25">
      <c r="A45" s="136">
        <f t="shared" si="0"/>
        <v>33</v>
      </c>
      <c r="B45" s="161"/>
      <c r="C45" s="368"/>
      <c r="D45" s="369"/>
      <c r="E45" s="153"/>
      <c r="F45" s="364"/>
      <c r="G45" s="365"/>
      <c r="H45" s="137"/>
    </row>
    <row r="46" spans="1:8" ht="45" customHeight="1" x14ac:dyDescent="0.25">
      <c r="A46" s="136">
        <f t="shared" si="0"/>
        <v>34</v>
      </c>
      <c r="B46" s="161"/>
      <c r="C46" s="368"/>
      <c r="D46" s="369"/>
      <c r="E46" s="153"/>
      <c r="F46" s="364"/>
      <c r="G46" s="365"/>
      <c r="H46" s="137"/>
    </row>
    <row r="47" spans="1:8" ht="45" customHeight="1" x14ac:dyDescent="0.25">
      <c r="A47" s="136">
        <f t="shared" si="0"/>
        <v>35</v>
      </c>
      <c r="B47" s="161"/>
      <c r="C47" s="368"/>
      <c r="D47" s="369"/>
      <c r="E47" s="153"/>
      <c r="F47" s="364"/>
      <c r="G47" s="365"/>
      <c r="H47" s="137"/>
    </row>
    <row r="48" spans="1:8" ht="45" customHeight="1" x14ac:dyDescent="0.25">
      <c r="A48" s="136">
        <f t="shared" si="0"/>
        <v>36</v>
      </c>
      <c r="B48" s="161"/>
      <c r="C48" s="368"/>
      <c r="D48" s="369"/>
      <c r="E48" s="153"/>
      <c r="F48" s="364"/>
      <c r="G48" s="365"/>
      <c r="H48" s="137"/>
    </row>
    <row r="49" spans="1:8" ht="45" customHeight="1" x14ac:dyDescent="0.25">
      <c r="A49" s="136">
        <f t="shared" si="0"/>
        <v>37</v>
      </c>
      <c r="B49" s="161"/>
      <c r="C49" s="368"/>
      <c r="D49" s="369"/>
      <c r="E49" s="153"/>
      <c r="F49" s="364"/>
      <c r="G49" s="365"/>
      <c r="H49" s="137"/>
    </row>
    <row r="50" spans="1:8" ht="45" customHeight="1" x14ac:dyDescent="0.25">
      <c r="A50" s="136">
        <f t="shared" si="0"/>
        <v>38</v>
      </c>
      <c r="B50" s="161"/>
      <c r="C50" s="368"/>
      <c r="D50" s="369"/>
      <c r="E50" s="153"/>
      <c r="F50" s="364"/>
      <c r="G50" s="365"/>
      <c r="H50" s="137"/>
    </row>
    <row r="51" spans="1:8" ht="45" customHeight="1" x14ac:dyDescent="0.25">
      <c r="A51" s="136">
        <f t="shared" si="0"/>
        <v>39</v>
      </c>
      <c r="B51" s="161"/>
      <c r="C51" s="368"/>
      <c r="D51" s="369"/>
      <c r="E51" s="153"/>
      <c r="F51" s="364"/>
      <c r="G51" s="365"/>
      <c r="H51" s="137"/>
    </row>
    <row r="52" spans="1:8" ht="45" customHeight="1" x14ac:dyDescent="0.25">
      <c r="A52" s="136">
        <f t="shared" si="0"/>
        <v>40</v>
      </c>
      <c r="B52" s="161"/>
      <c r="C52" s="368"/>
      <c r="D52" s="369"/>
      <c r="E52" s="153"/>
      <c r="F52" s="364"/>
      <c r="G52" s="365"/>
      <c r="H52" s="137"/>
    </row>
    <row r="53" spans="1:8" ht="45" customHeight="1" x14ac:dyDescent="0.25">
      <c r="A53" s="136">
        <f t="shared" si="0"/>
        <v>41</v>
      </c>
      <c r="B53" s="161"/>
      <c r="C53" s="368"/>
      <c r="D53" s="369"/>
      <c r="E53" s="153"/>
      <c r="F53" s="364"/>
      <c r="G53" s="365"/>
      <c r="H53" s="137"/>
    </row>
    <row r="54" spans="1:8" ht="45" customHeight="1" x14ac:dyDescent="0.25">
      <c r="A54" s="136">
        <f t="shared" si="0"/>
        <v>42</v>
      </c>
      <c r="B54" s="161"/>
      <c r="C54" s="368"/>
      <c r="D54" s="369"/>
      <c r="E54" s="153"/>
      <c r="F54" s="364"/>
      <c r="G54" s="365"/>
      <c r="H54" s="137"/>
    </row>
    <row r="55" spans="1:8" ht="45" customHeight="1" x14ac:dyDescent="0.25">
      <c r="A55" s="136">
        <f t="shared" si="0"/>
        <v>43</v>
      </c>
      <c r="B55" s="161"/>
      <c r="C55" s="368"/>
      <c r="D55" s="369"/>
      <c r="E55" s="153"/>
      <c r="F55" s="364"/>
      <c r="G55" s="365"/>
      <c r="H55" s="137"/>
    </row>
    <row r="56" spans="1:8" ht="45" customHeight="1" x14ac:dyDescent="0.25">
      <c r="A56" s="136">
        <f t="shared" si="0"/>
        <v>44</v>
      </c>
      <c r="B56" s="161"/>
      <c r="C56" s="368"/>
      <c r="D56" s="369"/>
      <c r="E56" s="153"/>
      <c r="F56" s="364"/>
      <c r="G56" s="365"/>
      <c r="H56" s="137"/>
    </row>
    <row r="57" spans="1:8" ht="45" customHeight="1" x14ac:dyDescent="0.25">
      <c r="A57" s="136">
        <f t="shared" si="0"/>
        <v>45</v>
      </c>
      <c r="B57" s="161"/>
      <c r="C57" s="368"/>
      <c r="D57" s="369"/>
      <c r="E57" s="153"/>
      <c r="F57" s="364"/>
      <c r="G57" s="365"/>
      <c r="H57" s="137"/>
    </row>
    <row r="58" spans="1:8" ht="45" customHeight="1" x14ac:dyDescent="0.25">
      <c r="A58" s="136">
        <f t="shared" si="0"/>
        <v>46</v>
      </c>
      <c r="B58" s="161"/>
      <c r="C58" s="368"/>
      <c r="D58" s="369"/>
      <c r="E58" s="153"/>
      <c r="F58" s="364"/>
      <c r="G58" s="365"/>
      <c r="H58" s="137"/>
    </row>
    <row r="59" spans="1:8" ht="45" customHeight="1" x14ac:dyDescent="0.25">
      <c r="A59" s="136">
        <f t="shared" si="0"/>
        <v>47</v>
      </c>
      <c r="B59" s="161"/>
      <c r="C59" s="368"/>
      <c r="D59" s="369"/>
      <c r="E59" s="153"/>
      <c r="F59" s="364"/>
      <c r="G59" s="365"/>
      <c r="H59" s="137"/>
    </row>
    <row r="60" spans="1:8" ht="45" customHeight="1" x14ac:dyDescent="0.25">
      <c r="A60" s="136">
        <f t="shared" si="0"/>
        <v>48</v>
      </c>
      <c r="B60" s="161"/>
      <c r="C60" s="368"/>
      <c r="D60" s="369"/>
      <c r="E60" s="153"/>
      <c r="F60" s="364"/>
      <c r="G60" s="365"/>
      <c r="H60" s="137"/>
    </row>
    <row r="61" spans="1:8" ht="45" customHeight="1" x14ac:dyDescent="0.25">
      <c r="A61" s="136">
        <f t="shared" si="0"/>
        <v>49</v>
      </c>
      <c r="B61" s="161"/>
      <c r="C61" s="368"/>
      <c r="D61" s="369"/>
      <c r="E61" s="153"/>
      <c r="F61" s="364"/>
      <c r="G61" s="365"/>
      <c r="H61" s="137"/>
    </row>
    <row r="62" spans="1:8" ht="45" customHeight="1" x14ac:dyDescent="0.25">
      <c r="A62" s="136">
        <f t="shared" si="0"/>
        <v>50</v>
      </c>
      <c r="B62" s="161"/>
      <c r="C62" s="368"/>
      <c r="D62" s="369"/>
      <c r="E62" s="153"/>
      <c r="F62" s="364"/>
      <c r="G62" s="365"/>
      <c r="H62" s="137"/>
    </row>
    <row r="63" spans="1:8" ht="45" customHeight="1" x14ac:dyDescent="0.25">
      <c r="A63" s="136">
        <f t="shared" si="0"/>
        <v>51</v>
      </c>
      <c r="B63" s="161"/>
      <c r="C63" s="368"/>
      <c r="D63" s="369"/>
      <c r="E63" s="153"/>
      <c r="F63" s="364"/>
      <c r="G63" s="365"/>
      <c r="H63" s="137"/>
    </row>
    <row r="64" spans="1:8" ht="45" customHeight="1" x14ac:dyDescent="0.25">
      <c r="A64" s="136">
        <f t="shared" si="0"/>
        <v>52</v>
      </c>
      <c r="B64" s="161"/>
      <c r="C64" s="368"/>
      <c r="D64" s="369"/>
      <c r="E64" s="153"/>
      <c r="F64" s="364"/>
      <c r="G64" s="365"/>
      <c r="H64" s="137"/>
    </row>
    <row r="65" spans="1:8" ht="45" customHeight="1" x14ac:dyDescent="0.25">
      <c r="A65" s="136">
        <f t="shared" si="0"/>
        <v>53</v>
      </c>
      <c r="B65" s="161"/>
      <c r="C65" s="368"/>
      <c r="D65" s="369"/>
      <c r="E65" s="153"/>
      <c r="F65" s="364"/>
      <c r="G65" s="365"/>
      <c r="H65" s="137"/>
    </row>
    <row r="66" spans="1:8" ht="45" customHeight="1" x14ac:dyDescent="0.25">
      <c r="A66" s="136">
        <f t="shared" si="0"/>
        <v>54</v>
      </c>
      <c r="B66" s="161"/>
      <c r="C66" s="368"/>
      <c r="D66" s="369"/>
      <c r="E66" s="153"/>
      <c r="F66" s="364"/>
      <c r="G66" s="365"/>
      <c r="H66" s="137"/>
    </row>
    <row r="67" spans="1:8" ht="45" customHeight="1" x14ac:dyDescent="0.25">
      <c r="A67" s="136">
        <f t="shared" si="0"/>
        <v>55</v>
      </c>
      <c r="B67" s="161"/>
      <c r="C67" s="368"/>
      <c r="D67" s="369"/>
      <c r="E67" s="153"/>
      <c r="F67" s="364"/>
      <c r="G67" s="365"/>
      <c r="H67" s="137"/>
    </row>
    <row r="68" spans="1:8" ht="45" customHeight="1" x14ac:dyDescent="0.25">
      <c r="A68" s="136">
        <f t="shared" si="0"/>
        <v>56</v>
      </c>
      <c r="B68" s="161"/>
      <c r="C68" s="368"/>
      <c r="D68" s="369"/>
      <c r="E68" s="153"/>
      <c r="F68" s="364"/>
      <c r="G68" s="365"/>
      <c r="H68" s="137"/>
    </row>
    <row r="69" spans="1:8" ht="45" customHeight="1" x14ac:dyDescent="0.25">
      <c r="A69" s="136">
        <f t="shared" si="0"/>
        <v>57</v>
      </c>
      <c r="B69" s="161"/>
      <c r="C69" s="368"/>
      <c r="D69" s="369"/>
      <c r="E69" s="153"/>
      <c r="F69" s="364"/>
      <c r="G69" s="365"/>
      <c r="H69" s="137"/>
    </row>
    <row r="70" spans="1:8" ht="45" customHeight="1" x14ac:dyDescent="0.25">
      <c r="A70" s="136">
        <f t="shared" si="0"/>
        <v>58</v>
      </c>
      <c r="B70" s="161"/>
      <c r="C70" s="368"/>
      <c r="D70" s="369"/>
      <c r="E70" s="153"/>
      <c r="F70" s="364"/>
      <c r="G70" s="365"/>
      <c r="H70" s="137"/>
    </row>
    <row r="71" spans="1:8" ht="45" customHeight="1" x14ac:dyDescent="0.25">
      <c r="A71" s="136">
        <f t="shared" si="0"/>
        <v>59</v>
      </c>
      <c r="B71" s="161"/>
      <c r="C71" s="368"/>
      <c r="D71" s="369"/>
      <c r="E71" s="153"/>
      <c r="F71" s="364"/>
      <c r="G71" s="365"/>
      <c r="H71" s="137"/>
    </row>
    <row r="72" spans="1:8" ht="45" customHeight="1" x14ac:dyDescent="0.25">
      <c r="A72" s="136">
        <f t="shared" si="0"/>
        <v>60</v>
      </c>
      <c r="B72" s="161"/>
      <c r="C72" s="368"/>
      <c r="D72" s="369"/>
      <c r="E72" s="153"/>
      <c r="F72" s="364"/>
      <c r="G72" s="365"/>
      <c r="H72" s="137"/>
    </row>
    <row r="73" spans="1:8" ht="45" customHeight="1" x14ac:dyDescent="0.25">
      <c r="A73" s="136">
        <f t="shared" si="0"/>
        <v>61</v>
      </c>
      <c r="B73" s="161"/>
      <c r="C73" s="368"/>
      <c r="D73" s="369"/>
      <c r="E73" s="153"/>
      <c r="F73" s="364"/>
      <c r="G73" s="365"/>
      <c r="H73" s="137"/>
    </row>
    <row r="74" spans="1:8" ht="45" customHeight="1" x14ac:dyDescent="0.25">
      <c r="A74" s="136">
        <f t="shared" si="0"/>
        <v>62</v>
      </c>
      <c r="B74" s="161"/>
      <c r="C74" s="368"/>
      <c r="D74" s="369"/>
      <c r="E74" s="153"/>
      <c r="F74" s="364"/>
      <c r="G74" s="365"/>
      <c r="H74" s="137"/>
    </row>
    <row r="75" spans="1:8" ht="45" customHeight="1" x14ac:dyDescent="0.25">
      <c r="A75" s="136">
        <f t="shared" si="0"/>
        <v>63</v>
      </c>
      <c r="B75" s="161"/>
      <c r="C75" s="368"/>
      <c r="D75" s="369"/>
      <c r="E75" s="153"/>
      <c r="F75" s="364"/>
      <c r="G75" s="365"/>
      <c r="H75" s="137"/>
    </row>
    <row r="76" spans="1:8" ht="45" customHeight="1" x14ac:dyDescent="0.25">
      <c r="A76" s="136">
        <f t="shared" si="0"/>
        <v>64</v>
      </c>
      <c r="B76" s="161"/>
      <c r="C76" s="368"/>
      <c r="D76" s="369"/>
      <c r="E76" s="153"/>
      <c r="F76" s="364"/>
      <c r="G76" s="365"/>
      <c r="H76" s="137"/>
    </row>
    <row r="77" spans="1:8" ht="45" customHeight="1" x14ac:dyDescent="0.25">
      <c r="A77" s="136">
        <f t="shared" si="0"/>
        <v>65</v>
      </c>
      <c r="B77" s="161"/>
      <c r="C77" s="368"/>
      <c r="D77" s="369"/>
      <c r="E77" s="153"/>
      <c r="F77" s="364"/>
      <c r="G77" s="365"/>
      <c r="H77" s="137"/>
    </row>
    <row r="78" spans="1:8" ht="45" customHeight="1" x14ac:dyDescent="0.25">
      <c r="A78" s="136">
        <f t="shared" ref="A78:A141" si="1">ROW(A66)</f>
        <v>66</v>
      </c>
      <c r="B78" s="161"/>
      <c r="C78" s="368"/>
      <c r="D78" s="369"/>
      <c r="E78" s="153"/>
      <c r="F78" s="364"/>
      <c r="G78" s="365"/>
      <c r="H78" s="137"/>
    </row>
    <row r="79" spans="1:8" ht="45" customHeight="1" x14ac:dyDescent="0.25">
      <c r="A79" s="136">
        <f t="shared" si="1"/>
        <v>67</v>
      </c>
      <c r="B79" s="161"/>
      <c r="C79" s="368"/>
      <c r="D79" s="369"/>
      <c r="E79" s="153"/>
      <c r="F79" s="364"/>
      <c r="G79" s="365"/>
      <c r="H79" s="137"/>
    </row>
    <row r="80" spans="1:8" ht="45" customHeight="1" x14ac:dyDescent="0.25">
      <c r="A80" s="136">
        <f t="shared" si="1"/>
        <v>68</v>
      </c>
      <c r="B80" s="161"/>
      <c r="C80" s="368"/>
      <c r="D80" s="369"/>
      <c r="E80" s="153"/>
      <c r="F80" s="364"/>
      <c r="G80" s="365"/>
      <c r="H80" s="137"/>
    </row>
    <row r="81" spans="1:8" ht="45" customHeight="1" x14ac:dyDescent="0.25">
      <c r="A81" s="136">
        <f t="shared" si="1"/>
        <v>69</v>
      </c>
      <c r="B81" s="161"/>
      <c r="C81" s="368"/>
      <c r="D81" s="369"/>
      <c r="E81" s="153"/>
      <c r="F81" s="364"/>
      <c r="G81" s="365"/>
      <c r="H81" s="137"/>
    </row>
    <row r="82" spans="1:8" ht="45" customHeight="1" x14ac:dyDescent="0.25">
      <c r="A82" s="136">
        <f t="shared" si="1"/>
        <v>70</v>
      </c>
      <c r="B82" s="161"/>
      <c r="C82" s="368"/>
      <c r="D82" s="369"/>
      <c r="E82" s="153"/>
      <c r="F82" s="364"/>
      <c r="G82" s="365"/>
      <c r="H82" s="137"/>
    </row>
    <row r="83" spans="1:8" ht="45" customHeight="1" x14ac:dyDescent="0.25">
      <c r="A83" s="136">
        <f t="shared" si="1"/>
        <v>71</v>
      </c>
      <c r="B83" s="161"/>
      <c r="C83" s="368"/>
      <c r="D83" s="369"/>
      <c r="E83" s="153"/>
      <c r="F83" s="364"/>
      <c r="G83" s="365"/>
      <c r="H83" s="137"/>
    </row>
    <row r="84" spans="1:8" ht="45" customHeight="1" x14ac:dyDescent="0.25">
      <c r="A84" s="136">
        <f t="shared" si="1"/>
        <v>72</v>
      </c>
      <c r="B84" s="161"/>
      <c r="C84" s="368"/>
      <c r="D84" s="369"/>
      <c r="E84" s="153"/>
      <c r="F84" s="364"/>
      <c r="G84" s="365"/>
      <c r="H84" s="137"/>
    </row>
    <row r="85" spans="1:8" ht="45" customHeight="1" x14ac:dyDescent="0.25">
      <c r="A85" s="136">
        <f t="shared" si="1"/>
        <v>73</v>
      </c>
      <c r="B85" s="161"/>
      <c r="C85" s="368"/>
      <c r="D85" s="369"/>
      <c r="E85" s="153"/>
      <c r="F85" s="364"/>
      <c r="G85" s="365"/>
      <c r="H85" s="137"/>
    </row>
    <row r="86" spans="1:8" ht="45" customHeight="1" x14ac:dyDescent="0.25">
      <c r="A86" s="136">
        <f t="shared" si="1"/>
        <v>74</v>
      </c>
      <c r="B86" s="161"/>
      <c r="C86" s="368"/>
      <c r="D86" s="369"/>
      <c r="E86" s="153"/>
      <c r="F86" s="364"/>
      <c r="G86" s="365"/>
      <c r="H86" s="137"/>
    </row>
    <row r="87" spans="1:8" ht="45" customHeight="1" x14ac:dyDescent="0.25">
      <c r="A87" s="136">
        <f t="shared" si="1"/>
        <v>75</v>
      </c>
      <c r="B87" s="161"/>
      <c r="C87" s="368"/>
      <c r="D87" s="369"/>
      <c r="E87" s="153"/>
      <c r="F87" s="364"/>
      <c r="G87" s="365"/>
      <c r="H87" s="137"/>
    </row>
    <row r="88" spans="1:8" ht="45" customHeight="1" x14ac:dyDescent="0.25">
      <c r="A88" s="136">
        <f t="shared" si="1"/>
        <v>76</v>
      </c>
      <c r="B88" s="161"/>
      <c r="C88" s="368"/>
      <c r="D88" s="369"/>
      <c r="E88" s="153"/>
      <c r="F88" s="364"/>
      <c r="G88" s="365"/>
      <c r="H88" s="137"/>
    </row>
    <row r="89" spans="1:8" ht="45" customHeight="1" x14ac:dyDescent="0.25">
      <c r="A89" s="136">
        <f t="shared" si="1"/>
        <v>77</v>
      </c>
      <c r="B89" s="161"/>
      <c r="C89" s="368"/>
      <c r="D89" s="369"/>
      <c r="E89" s="153"/>
      <c r="F89" s="364"/>
      <c r="G89" s="365"/>
      <c r="H89" s="137"/>
    </row>
    <row r="90" spans="1:8" ht="45" customHeight="1" x14ac:dyDescent="0.25">
      <c r="A90" s="136">
        <f t="shared" si="1"/>
        <v>78</v>
      </c>
      <c r="B90" s="161"/>
      <c r="C90" s="368"/>
      <c r="D90" s="369"/>
      <c r="E90" s="153"/>
      <c r="F90" s="364"/>
      <c r="G90" s="365"/>
      <c r="H90" s="137"/>
    </row>
    <row r="91" spans="1:8" ht="45" customHeight="1" x14ac:dyDescent="0.25">
      <c r="A91" s="136">
        <f t="shared" si="1"/>
        <v>79</v>
      </c>
      <c r="B91" s="161"/>
      <c r="C91" s="368"/>
      <c r="D91" s="369"/>
      <c r="E91" s="153"/>
      <c r="F91" s="364"/>
      <c r="G91" s="365"/>
      <c r="H91" s="137"/>
    </row>
    <row r="92" spans="1:8" ht="45" customHeight="1" x14ac:dyDescent="0.25">
      <c r="A92" s="136">
        <f t="shared" si="1"/>
        <v>80</v>
      </c>
      <c r="B92" s="161"/>
      <c r="C92" s="368"/>
      <c r="D92" s="369"/>
      <c r="E92" s="153"/>
      <c r="F92" s="364"/>
      <c r="G92" s="365"/>
      <c r="H92" s="137"/>
    </row>
    <row r="93" spans="1:8" ht="45" customHeight="1" x14ac:dyDescent="0.25">
      <c r="A93" s="136">
        <f t="shared" si="1"/>
        <v>81</v>
      </c>
      <c r="B93" s="161"/>
      <c r="C93" s="368"/>
      <c r="D93" s="369"/>
      <c r="E93" s="153"/>
      <c r="F93" s="364"/>
      <c r="G93" s="365"/>
      <c r="H93" s="137"/>
    </row>
    <row r="94" spans="1:8" ht="45" customHeight="1" x14ac:dyDescent="0.25">
      <c r="A94" s="136">
        <f t="shared" si="1"/>
        <v>82</v>
      </c>
      <c r="B94" s="161"/>
      <c r="C94" s="368"/>
      <c r="D94" s="369"/>
      <c r="E94" s="153"/>
      <c r="F94" s="364"/>
      <c r="G94" s="365"/>
      <c r="H94" s="137"/>
    </row>
    <row r="95" spans="1:8" ht="45" customHeight="1" x14ac:dyDescent="0.25">
      <c r="A95" s="136">
        <f t="shared" si="1"/>
        <v>83</v>
      </c>
      <c r="B95" s="161"/>
      <c r="C95" s="368"/>
      <c r="D95" s="369"/>
      <c r="E95" s="153"/>
      <c r="F95" s="364"/>
      <c r="G95" s="365"/>
      <c r="H95" s="137"/>
    </row>
    <row r="96" spans="1:8" ht="45" customHeight="1" x14ac:dyDescent="0.25">
      <c r="A96" s="136">
        <f t="shared" si="1"/>
        <v>84</v>
      </c>
      <c r="B96" s="161"/>
      <c r="C96" s="368"/>
      <c r="D96" s="369"/>
      <c r="E96" s="153"/>
      <c r="F96" s="364"/>
      <c r="G96" s="365"/>
      <c r="H96" s="137"/>
    </row>
    <row r="97" spans="1:8" ht="45" customHeight="1" x14ac:dyDescent="0.25">
      <c r="A97" s="136">
        <f t="shared" si="1"/>
        <v>85</v>
      </c>
      <c r="B97" s="161"/>
      <c r="C97" s="368"/>
      <c r="D97" s="369"/>
      <c r="E97" s="153"/>
      <c r="F97" s="364"/>
      <c r="G97" s="365"/>
      <c r="H97" s="137"/>
    </row>
    <row r="98" spans="1:8" ht="45" customHeight="1" x14ac:dyDescent="0.25">
      <c r="A98" s="136">
        <f t="shared" si="1"/>
        <v>86</v>
      </c>
      <c r="B98" s="161"/>
      <c r="C98" s="368"/>
      <c r="D98" s="369"/>
      <c r="E98" s="153"/>
      <c r="F98" s="364"/>
      <c r="G98" s="365"/>
      <c r="H98" s="137"/>
    </row>
    <row r="99" spans="1:8" ht="45" customHeight="1" x14ac:dyDescent="0.25">
      <c r="A99" s="136">
        <f t="shared" si="1"/>
        <v>87</v>
      </c>
      <c r="B99" s="161"/>
      <c r="C99" s="368"/>
      <c r="D99" s="369"/>
      <c r="E99" s="153"/>
      <c r="F99" s="364"/>
      <c r="G99" s="365"/>
      <c r="H99" s="137"/>
    </row>
    <row r="100" spans="1:8" ht="45" customHeight="1" x14ac:dyDescent="0.25">
      <c r="A100" s="136">
        <f t="shared" si="1"/>
        <v>88</v>
      </c>
      <c r="B100" s="161"/>
      <c r="C100" s="368"/>
      <c r="D100" s="369"/>
      <c r="E100" s="153"/>
      <c r="F100" s="364"/>
      <c r="G100" s="365"/>
      <c r="H100" s="137"/>
    </row>
    <row r="101" spans="1:8" ht="45" customHeight="1" x14ac:dyDescent="0.25">
      <c r="A101" s="136">
        <f t="shared" si="1"/>
        <v>89</v>
      </c>
      <c r="B101" s="161"/>
      <c r="C101" s="368"/>
      <c r="D101" s="369"/>
      <c r="E101" s="153"/>
      <c r="F101" s="364"/>
      <c r="G101" s="365"/>
      <c r="H101" s="137"/>
    </row>
    <row r="102" spans="1:8" ht="45" customHeight="1" x14ac:dyDescent="0.25">
      <c r="A102" s="136">
        <f t="shared" si="1"/>
        <v>90</v>
      </c>
      <c r="B102" s="161"/>
      <c r="C102" s="368"/>
      <c r="D102" s="369"/>
      <c r="E102" s="153"/>
      <c r="F102" s="364"/>
      <c r="G102" s="365"/>
      <c r="H102" s="137"/>
    </row>
    <row r="103" spans="1:8" ht="45" customHeight="1" x14ac:dyDescent="0.25">
      <c r="A103" s="136">
        <f t="shared" si="1"/>
        <v>91</v>
      </c>
      <c r="B103" s="161"/>
      <c r="C103" s="368"/>
      <c r="D103" s="369"/>
      <c r="E103" s="153"/>
      <c r="F103" s="364"/>
      <c r="G103" s="365"/>
      <c r="H103" s="137"/>
    </row>
    <row r="104" spans="1:8" ht="45" customHeight="1" x14ac:dyDescent="0.25">
      <c r="A104" s="136">
        <f t="shared" si="1"/>
        <v>92</v>
      </c>
      <c r="B104" s="161"/>
      <c r="C104" s="368"/>
      <c r="D104" s="369"/>
      <c r="E104" s="153"/>
      <c r="F104" s="364"/>
      <c r="G104" s="365"/>
      <c r="H104" s="137"/>
    </row>
    <row r="105" spans="1:8" ht="45" customHeight="1" x14ac:dyDescent="0.25">
      <c r="A105" s="136">
        <f t="shared" si="1"/>
        <v>93</v>
      </c>
      <c r="B105" s="161"/>
      <c r="C105" s="368"/>
      <c r="D105" s="369"/>
      <c r="E105" s="153"/>
      <c r="F105" s="364"/>
      <c r="G105" s="365"/>
      <c r="H105" s="137"/>
    </row>
    <row r="106" spans="1:8" ht="45" customHeight="1" x14ac:dyDescent="0.25">
      <c r="A106" s="136">
        <f t="shared" si="1"/>
        <v>94</v>
      </c>
      <c r="B106" s="161"/>
      <c r="C106" s="368"/>
      <c r="D106" s="369"/>
      <c r="E106" s="153"/>
      <c r="F106" s="364"/>
      <c r="G106" s="365"/>
      <c r="H106" s="137"/>
    </row>
    <row r="107" spans="1:8" ht="45" customHeight="1" x14ac:dyDescent="0.25">
      <c r="A107" s="136">
        <f t="shared" si="1"/>
        <v>95</v>
      </c>
      <c r="B107" s="161"/>
      <c r="C107" s="368"/>
      <c r="D107" s="369"/>
      <c r="E107" s="153"/>
      <c r="F107" s="364"/>
      <c r="G107" s="365"/>
      <c r="H107" s="137"/>
    </row>
    <row r="108" spans="1:8" ht="45" customHeight="1" x14ac:dyDescent="0.25">
      <c r="A108" s="136">
        <f t="shared" si="1"/>
        <v>96</v>
      </c>
      <c r="B108" s="161"/>
      <c r="C108" s="368"/>
      <c r="D108" s="369"/>
      <c r="E108" s="153"/>
      <c r="F108" s="364"/>
      <c r="G108" s="365"/>
      <c r="H108" s="137"/>
    </row>
    <row r="109" spans="1:8" ht="45" customHeight="1" x14ac:dyDescent="0.25">
      <c r="A109" s="136">
        <f t="shared" si="1"/>
        <v>97</v>
      </c>
      <c r="B109" s="161"/>
      <c r="C109" s="368"/>
      <c r="D109" s="369"/>
      <c r="E109" s="153"/>
      <c r="F109" s="364"/>
      <c r="G109" s="365"/>
      <c r="H109" s="137"/>
    </row>
    <row r="110" spans="1:8" ht="45" customHeight="1" x14ac:dyDescent="0.25">
      <c r="A110" s="136">
        <f t="shared" si="1"/>
        <v>98</v>
      </c>
      <c r="B110" s="161"/>
      <c r="C110" s="368"/>
      <c r="D110" s="369"/>
      <c r="E110" s="153"/>
      <c r="F110" s="364"/>
      <c r="G110" s="365"/>
      <c r="H110" s="137"/>
    </row>
    <row r="111" spans="1:8" ht="45" customHeight="1" x14ac:dyDescent="0.25">
      <c r="A111" s="136">
        <f t="shared" si="1"/>
        <v>99</v>
      </c>
      <c r="B111" s="161"/>
      <c r="C111" s="368"/>
      <c r="D111" s="369"/>
      <c r="E111" s="153"/>
      <c r="F111" s="364"/>
      <c r="G111" s="365"/>
      <c r="H111" s="137"/>
    </row>
    <row r="112" spans="1:8" ht="45" customHeight="1" x14ac:dyDescent="0.25">
      <c r="A112" s="136">
        <f t="shared" si="1"/>
        <v>100</v>
      </c>
      <c r="B112" s="161"/>
      <c r="C112" s="368"/>
      <c r="D112" s="369"/>
      <c r="E112" s="153"/>
      <c r="F112" s="364"/>
      <c r="G112" s="365"/>
      <c r="H112" s="137"/>
    </row>
    <row r="113" spans="1:8" ht="45" customHeight="1" x14ac:dyDescent="0.25">
      <c r="A113" s="136">
        <f t="shared" si="1"/>
        <v>101</v>
      </c>
      <c r="B113" s="161"/>
      <c r="C113" s="368"/>
      <c r="D113" s="369"/>
      <c r="E113" s="153"/>
      <c r="F113" s="364"/>
      <c r="G113" s="365"/>
      <c r="H113" s="137"/>
    </row>
    <row r="114" spans="1:8" ht="45" customHeight="1" x14ac:dyDescent="0.25">
      <c r="A114" s="136">
        <f t="shared" si="1"/>
        <v>102</v>
      </c>
      <c r="B114" s="161"/>
      <c r="C114" s="368"/>
      <c r="D114" s="369"/>
      <c r="E114" s="153"/>
      <c r="F114" s="364"/>
      <c r="G114" s="365"/>
      <c r="H114" s="137"/>
    </row>
    <row r="115" spans="1:8" ht="45" customHeight="1" x14ac:dyDescent="0.25">
      <c r="A115" s="136">
        <f t="shared" si="1"/>
        <v>103</v>
      </c>
      <c r="B115" s="161"/>
      <c r="C115" s="368"/>
      <c r="D115" s="369"/>
      <c r="E115" s="153"/>
      <c r="F115" s="364"/>
      <c r="G115" s="365"/>
      <c r="H115" s="137"/>
    </row>
    <row r="116" spans="1:8" ht="45" customHeight="1" x14ac:dyDescent="0.25">
      <c r="A116" s="136">
        <f t="shared" si="1"/>
        <v>104</v>
      </c>
      <c r="B116" s="161"/>
      <c r="C116" s="368"/>
      <c r="D116" s="369"/>
      <c r="E116" s="153"/>
      <c r="F116" s="364"/>
      <c r="G116" s="365"/>
      <c r="H116" s="137"/>
    </row>
    <row r="117" spans="1:8" ht="45" customHeight="1" x14ac:dyDescent="0.25">
      <c r="A117" s="136">
        <f t="shared" si="1"/>
        <v>105</v>
      </c>
      <c r="B117" s="161"/>
      <c r="C117" s="368"/>
      <c r="D117" s="369"/>
      <c r="E117" s="153"/>
      <c r="F117" s="364"/>
      <c r="G117" s="365"/>
      <c r="H117" s="137"/>
    </row>
    <row r="118" spans="1:8" ht="45" customHeight="1" x14ac:dyDescent="0.25">
      <c r="A118" s="136">
        <f t="shared" si="1"/>
        <v>106</v>
      </c>
      <c r="B118" s="161"/>
      <c r="C118" s="368"/>
      <c r="D118" s="369"/>
      <c r="E118" s="153"/>
      <c r="F118" s="364"/>
      <c r="G118" s="365"/>
      <c r="H118" s="137"/>
    </row>
    <row r="119" spans="1:8" ht="45" customHeight="1" x14ac:dyDescent="0.25">
      <c r="A119" s="136">
        <f t="shared" si="1"/>
        <v>107</v>
      </c>
      <c r="B119" s="161"/>
      <c r="C119" s="368"/>
      <c r="D119" s="369"/>
      <c r="E119" s="153"/>
      <c r="F119" s="364"/>
      <c r="G119" s="365"/>
      <c r="H119" s="137"/>
    </row>
    <row r="120" spans="1:8" ht="45" customHeight="1" x14ac:dyDescent="0.25">
      <c r="A120" s="136">
        <f t="shared" si="1"/>
        <v>108</v>
      </c>
      <c r="B120" s="161"/>
      <c r="C120" s="368"/>
      <c r="D120" s="369"/>
      <c r="E120" s="153"/>
      <c r="F120" s="364"/>
      <c r="G120" s="365"/>
      <c r="H120" s="137"/>
    </row>
    <row r="121" spans="1:8" ht="45" customHeight="1" x14ac:dyDescent="0.25">
      <c r="A121" s="136">
        <f t="shared" si="1"/>
        <v>109</v>
      </c>
      <c r="B121" s="161"/>
      <c r="C121" s="368"/>
      <c r="D121" s="369"/>
      <c r="E121" s="153"/>
      <c r="F121" s="364"/>
      <c r="G121" s="365"/>
      <c r="H121" s="137"/>
    </row>
    <row r="122" spans="1:8" ht="45" customHeight="1" x14ac:dyDescent="0.25">
      <c r="A122" s="136">
        <f t="shared" si="1"/>
        <v>110</v>
      </c>
      <c r="B122" s="161"/>
      <c r="C122" s="368"/>
      <c r="D122" s="369"/>
      <c r="E122" s="153"/>
      <c r="F122" s="364"/>
      <c r="G122" s="365"/>
      <c r="H122" s="137"/>
    </row>
    <row r="123" spans="1:8" ht="45" customHeight="1" x14ac:dyDescent="0.25">
      <c r="A123" s="136">
        <f t="shared" si="1"/>
        <v>111</v>
      </c>
      <c r="B123" s="161"/>
      <c r="C123" s="368"/>
      <c r="D123" s="369"/>
      <c r="E123" s="153"/>
      <c r="F123" s="364"/>
      <c r="G123" s="365"/>
      <c r="H123" s="137"/>
    </row>
    <row r="124" spans="1:8" ht="45" customHeight="1" x14ac:dyDescent="0.25">
      <c r="A124" s="136">
        <f t="shared" si="1"/>
        <v>112</v>
      </c>
      <c r="B124" s="161"/>
      <c r="C124" s="368"/>
      <c r="D124" s="369"/>
      <c r="E124" s="153"/>
      <c r="F124" s="364"/>
      <c r="G124" s="365"/>
      <c r="H124" s="137"/>
    </row>
    <row r="125" spans="1:8" ht="45" customHeight="1" x14ac:dyDescent="0.25">
      <c r="A125" s="136">
        <f t="shared" si="1"/>
        <v>113</v>
      </c>
      <c r="B125" s="161"/>
      <c r="C125" s="368"/>
      <c r="D125" s="369"/>
      <c r="E125" s="153"/>
      <c r="F125" s="364"/>
      <c r="G125" s="365"/>
      <c r="H125" s="137"/>
    </row>
    <row r="126" spans="1:8" ht="45" customHeight="1" x14ac:dyDescent="0.25">
      <c r="A126" s="136">
        <f t="shared" si="1"/>
        <v>114</v>
      </c>
      <c r="B126" s="161"/>
      <c r="C126" s="368"/>
      <c r="D126" s="369"/>
      <c r="E126" s="153"/>
      <c r="F126" s="364"/>
      <c r="G126" s="365"/>
      <c r="H126" s="137"/>
    </row>
    <row r="127" spans="1:8" ht="45" customHeight="1" x14ac:dyDescent="0.25">
      <c r="A127" s="136">
        <f t="shared" si="1"/>
        <v>115</v>
      </c>
      <c r="B127" s="161"/>
      <c r="C127" s="368"/>
      <c r="D127" s="369"/>
      <c r="E127" s="153"/>
      <c r="F127" s="364"/>
      <c r="G127" s="365"/>
      <c r="H127" s="137"/>
    </row>
    <row r="128" spans="1:8" ht="45" customHeight="1" x14ac:dyDescent="0.25">
      <c r="A128" s="136">
        <f t="shared" si="1"/>
        <v>116</v>
      </c>
      <c r="B128" s="161"/>
      <c r="C128" s="368"/>
      <c r="D128" s="369"/>
      <c r="E128" s="153"/>
      <c r="F128" s="364"/>
      <c r="G128" s="365"/>
      <c r="H128" s="137"/>
    </row>
    <row r="129" spans="1:8" ht="45" customHeight="1" x14ac:dyDescent="0.25">
      <c r="A129" s="136">
        <f t="shared" si="1"/>
        <v>117</v>
      </c>
      <c r="B129" s="161"/>
      <c r="C129" s="368"/>
      <c r="D129" s="369"/>
      <c r="E129" s="153"/>
      <c r="F129" s="364"/>
      <c r="G129" s="365"/>
      <c r="H129" s="137"/>
    </row>
    <row r="130" spans="1:8" ht="45" customHeight="1" x14ac:dyDescent="0.25">
      <c r="A130" s="136">
        <f t="shared" si="1"/>
        <v>118</v>
      </c>
      <c r="B130" s="161"/>
      <c r="C130" s="368"/>
      <c r="D130" s="369"/>
      <c r="E130" s="153"/>
      <c r="F130" s="364"/>
      <c r="G130" s="365"/>
      <c r="H130" s="137"/>
    </row>
    <row r="131" spans="1:8" ht="45" customHeight="1" x14ac:dyDescent="0.25">
      <c r="A131" s="136">
        <f t="shared" si="1"/>
        <v>119</v>
      </c>
      <c r="B131" s="161"/>
      <c r="C131" s="368"/>
      <c r="D131" s="369"/>
      <c r="E131" s="153"/>
      <c r="F131" s="364"/>
      <c r="G131" s="365"/>
      <c r="H131" s="137"/>
    </row>
    <row r="132" spans="1:8" ht="45" customHeight="1" x14ac:dyDescent="0.25">
      <c r="A132" s="136">
        <f t="shared" si="1"/>
        <v>120</v>
      </c>
      <c r="B132" s="161"/>
      <c r="C132" s="368"/>
      <c r="D132" s="369"/>
      <c r="E132" s="153"/>
      <c r="F132" s="364"/>
      <c r="G132" s="365"/>
      <c r="H132" s="137"/>
    </row>
    <row r="133" spans="1:8" ht="45" customHeight="1" x14ac:dyDescent="0.25">
      <c r="A133" s="136">
        <f t="shared" si="1"/>
        <v>121</v>
      </c>
      <c r="B133" s="161"/>
      <c r="C133" s="368"/>
      <c r="D133" s="369"/>
      <c r="E133" s="153"/>
      <c r="F133" s="364"/>
      <c r="G133" s="365"/>
      <c r="H133" s="137"/>
    </row>
    <row r="134" spans="1:8" ht="45" customHeight="1" x14ac:dyDescent="0.25">
      <c r="A134" s="136">
        <f t="shared" si="1"/>
        <v>122</v>
      </c>
      <c r="B134" s="161"/>
      <c r="C134" s="368"/>
      <c r="D134" s="369"/>
      <c r="E134" s="153"/>
      <c r="F134" s="364"/>
      <c r="G134" s="365"/>
      <c r="H134" s="137"/>
    </row>
    <row r="135" spans="1:8" ht="45" customHeight="1" x14ac:dyDescent="0.25">
      <c r="A135" s="136">
        <f t="shared" si="1"/>
        <v>123</v>
      </c>
      <c r="B135" s="161"/>
      <c r="C135" s="368"/>
      <c r="D135" s="369"/>
      <c r="E135" s="153"/>
      <c r="F135" s="364"/>
      <c r="G135" s="365"/>
      <c r="H135" s="137"/>
    </row>
    <row r="136" spans="1:8" ht="45" customHeight="1" x14ac:dyDescent="0.25">
      <c r="A136" s="136">
        <f t="shared" si="1"/>
        <v>124</v>
      </c>
      <c r="B136" s="161"/>
      <c r="C136" s="368"/>
      <c r="D136" s="369"/>
      <c r="E136" s="153"/>
      <c r="F136" s="364"/>
      <c r="G136" s="365"/>
      <c r="H136" s="137"/>
    </row>
    <row r="137" spans="1:8" ht="45" customHeight="1" x14ac:dyDescent="0.25">
      <c r="A137" s="136">
        <f t="shared" si="1"/>
        <v>125</v>
      </c>
      <c r="B137" s="161"/>
      <c r="C137" s="368"/>
      <c r="D137" s="369"/>
      <c r="E137" s="153"/>
      <c r="F137" s="364"/>
      <c r="G137" s="365"/>
      <c r="H137" s="137"/>
    </row>
    <row r="138" spans="1:8" ht="45" customHeight="1" x14ac:dyDescent="0.25">
      <c r="A138" s="136">
        <f t="shared" si="1"/>
        <v>126</v>
      </c>
      <c r="B138" s="161"/>
      <c r="C138" s="368"/>
      <c r="D138" s="369"/>
      <c r="E138" s="153"/>
      <c r="F138" s="364"/>
      <c r="G138" s="365"/>
      <c r="H138" s="137"/>
    </row>
    <row r="139" spans="1:8" ht="45" customHeight="1" x14ac:dyDescent="0.25">
      <c r="A139" s="136">
        <f t="shared" si="1"/>
        <v>127</v>
      </c>
      <c r="B139" s="161"/>
      <c r="C139" s="368"/>
      <c r="D139" s="369"/>
      <c r="E139" s="153"/>
      <c r="F139" s="364"/>
      <c r="G139" s="365"/>
      <c r="H139" s="137"/>
    </row>
    <row r="140" spans="1:8" ht="45" customHeight="1" x14ac:dyDescent="0.25">
      <c r="A140" s="136">
        <f t="shared" si="1"/>
        <v>128</v>
      </c>
      <c r="B140" s="161"/>
      <c r="C140" s="368"/>
      <c r="D140" s="369"/>
      <c r="E140" s="153"/>
      <c r="F140" s="364"/>
      <c r="G140" s="365"/>
      <c r="H140" s="137"/>
    </row>
    <row r="141" spans="1:8" ht="45" customHeight="1" x14ac:dyDescent="0.25">
      <c r="A141" s="136">
        <f t="shared" si="1"/>
        <v>129</v>
      </c>
      <c r="B141" s="161"/>
      <c r="C141" s="368"/>
      <c r="D141" s="369"/>
      <c r="E141" s="153"/>
      <c r="F141" s="364"/>
      <c r="G141" s="365"/>
      <c r="H141" s="137"/>
    </row>
    <row r="142" spans="1:8" ht="45" customHeight="1" x14ac:dyDescent="0.25">
      <c r="A142" s="136">
        <f t="shared" ref="A142:A205" si="2">ROW(A130)</f>
        <v>130</v>
      </c>
      <c r="B142" s="161"/>
      <c r="C142" s="368"/>
      <c r="D142" s="369"/>
      <c r="E142" s="153"/>
      <c r="F142" s="364"/>
      <c r="G142" s="365"/>
      <c r="H142" s="137"/>
    </row>
    <row r="143" spans="1:8" ht="45" customHeight="1" x14ac:dyDescent="0.25">
      <c r="A143" s="136">
        <f t="shared" si="2"/>
        <v>131</v>
      </c>
      <c r="B143" s="161"/>
      <c r="C143" s="368"/>
      <c r="D143" s="369"/>
      <c r="E143" s="153"/>
      <c r="F143" s="364"/>
      <c r="G143" s="365"/>
      <c r="H143" s="137"/>
    </row>
    <row r="144" spans="1:8" ht="45" customHeight="1" x14ac:dyDescent="0.25">
      <c r="A144" s="136">
        <f t="shared" si="2"/>
        <v>132</v>
      </c>
      <c r="B144" s="161"/>
      <c r="C144" s="368"/>
      <c r="D144" s="369"/>
      <c r="E144" s="153"/>
      <c r="F144" s="364"/>
      <c r="G144" s="365"/>
      <c r="H144" s="137"/>
    </row>
    <row r="145" spans="1:8" ht="45" customHeight="1" x14ac:dyDescent="0.25">
      <c r="A145" s="136">
        <f t="shared" si="2"/>
        <v>133</v>
      </c>
      <c r="B145" s="161"/>
      <c r="C145" s="368"/>
      <c r="D145" s="369"/>
      <c r="E145" s="153"/>
      <c r="F145" s="364"/>
      <c r="G145" s="365"/>
      <c r="H145" s="137"/>
    </row>
    <row r="146" spans="1:8" ht="45" customHeight="1" x14ac:dyDescent="0.25">
      <c r="A146" s="136">
        <f t="shared" si="2"/>
        <v>134</v>
      </c>
      <c r="B146" s="161"/>
      <c r="C146" s="368"/>
      <c r="D146" s="369"/>
      <c r="E146" s="153"/>
      <c r="F146" s="364"/>
      <c r="G146" s="365"/>
      <c r="H146" s="137"/>
    </row>
    <row r="147" spans="1:8" ht="45" customHeight="1" x14ac:dyDescent="0.25">
      <c r="A147" s="136">
        <f t="shared" si="2"/>
        <v>135</v>
      </c>
      <c r="B147" s="161"/>
      <c r="C147" s="368"/>
      <c r="D147" s="369"/>
      <c r="E147" s="153"/>
      <c r="F147" s="364"/>
      <c r="G147" s="365"/>
      <c r="H147" s="137"/>
    </row>
    <row r="148" spans="1:8" ht="45" customHeight="1" x14ac:dyDescent="0.25">
      <c r="A148" s="136">
        <f t="shared" si="2"/>
        <v>136</v>
      </c>
      <c r="B148" s="161"/>
      <c r="C148" s="368"/>
      <c r="D148" s="369"/>
      <c r="E148" s="153"/>
      <c r="F148" s="364"/>
      <c r="G148" s="365"/>
      <c r="H148" s="137"/>
    </row>
    <row r="149" spans="1:8" ht="45" customHeight="1" x14ac:dyDescent="0.25">
      <c r="A149" s="136">
        <f t="shared" si="2"/>
        <v>137</v>
      </c>
      <c r="B149" s="161"/>
      <c r="C149" s="368"/>
      <c r="D149" s="369"/>
      <c r="E149" s="153"/>
      <c r="F149" s="364"/>
      <c r="G149" s="365"/>
      <c r="H149" s="137"/>
    </row>
    <row r="150" spans="1:8" ht="45" customHeight="1" x14ac:dyDescent="0.25">
      <c r="A150" s="136">
        <f t="shared" si="2"/>
        <v>138</v>
      </c>
      <c r="B150" s="161"/>
      <c r="C150" s="368"/>
      <c r="D150" s="369"/>
      <c r="E150" s="153"/>
      <c r="F150" s="364"/>
      <c r="G150" s="365"/>
      <c r="H150" s="137"/>
    </row>
    <row r="151" spans="1:8" ht="45" customHeight="1" x14ac:dyDescent="0.25">
      <c r="A151" s="136">
        <f t="shared" si="2"/>
        <v>139</v>
      </c>
      <c r="B151" s="161"/>
      <c r="C151" s="368"/>
      <c r="D151" s="369"/>
      <c r="E151" s="153"/>
      <c r="F151" s="364"/>
      <c r="G151" s="365"/>
      <c r="H151" s="137"/>
    </row>
    <row r="152" spans="1:8" ht="45" customHeight="1" x14ac:dyDescent="0.25">
      <c r="A152" s="136">
        <f t="shared" si="2"/>
        <v>140</v>
      </c>
      <c r="B152" s="161"/>
      <c r="C152" s="368"/>
      <c r="D152" s="369"/>
      <c r="E152" s="153"/>
      <c r="F152" s="364"/>
      <c r="G152" s="365"/>
      <c r="H152" s="137"/>
    </row>
    <row r="153" spans="1:8" ht="45" customHeight="1" x14ac:dyDescent="0.25">
      <c r="A153" s="136">
        <f t="shared" si="2"/>
        <v>141</v>
      </c>
      <c r="B153" s="161"/>
      <c r="C153" s="368"/>
      <c r="D153" s="369"/>
      <c r="E153" s="153"/>
      <c r="F153" s="364"/>
      <c r="G153" s="365"/>
      <c r="H153" s="137"/>
    </row>
    <row r="154" spans="1:8" ht="45" customHeight="1" x14ac:dyDescent="0.25">
      <c r="A154" s="136">
        <f t="shared" si="2"/>
        <v>142</v>
      </c>
      <c r="B154" s="161"/>
      <c r="C154" s="368"/>
      <c r="D154" s="369"/>
      <c r="E154" s="153"/>
      <c r="F154" s="364"/>
      <c r="G154" s="365"/>
      <c r="H154" s="137"/>
    </row>
    <row r="155" spans="1:8" ht="45" customHeight="1" x14ac:dyDescent="0.25">
      <c r="A155" s="136">
        <f t="shared" si="2"/>
        <v>143</v>
      </c>
      <c r="B155" s="161"/>
      <c r="C155" s="368"/>
      <c r="D155" s="369"/>
      <c r="E155" s="153"/>
      <c r="F155" s="364"/>
      <c r="G155" s="365"/>
      <c r="H155" s="137"/>
    </row>
    <row r="156" spans="1:8" ht="45" customHeight="1" x14ac:dyDescent="0.25">
      <c r="A156" s="136">
        <f t="shared" si="2"/>
        <v>144</v>
      </c>
      <c r="B156" s="161"/>
      <c r="C156" s="368"/>
      <c r="D156" s="369"/>
      <c r="E156" s="153"/>
      <c r="F156" s="364"/>
      <c r="G156" s="365"/>
      <c r="H156" s="137"/>
    </row>
    <row r="157" spans="1:8" ht="45" customHeight="1" x14ac:dyDescent="0.25">
      <c r="A157" s="136">
        <f t="shared" si="2"/>
        <v>145</v>
      </c>
      <c r="B157" s="161"/>
      <c r="C157" s="368"/>
      <c r="D157" s="369"/>
      <c r="E157" s="153"/>
      <c r="F157" s="364"/>
      <c r="G157" s="365"/>
      <c r="H157" s="137"/>
    </row>
    <row r="158" spans="1:8" ht="45" customHeight="1" x14ac:dyDescent="0.25">
      <c r="A158" s="136">
        <f t="shared" si="2"/>
        <v>146</v>
      </c>
      <c r="B158" s="161"/>
      <c r="C158" s="368"/>
      <c r="D158" s="369"/>
      <c r="E158" s="153"/>
      <c r="F158" s="364"/>
      <c r="G158" s="365"/>
      <c r="H158" s="137"/>
    </row>
    <row r="159" spans="1:8" ht="45" customHeight="1" x14ac:dyDescent="0.25">
      <c r="A159" s="136">
        <f t="shared" si="2"/>
        <v>147</v>
      </c>
      <c r="B159" s="161"/>
      <c r="C159" s="368"/>
      <c r="D159" s="369"/>
      <c r="E159" s="153"/>
      <c r="F159" s="364"/>
      <c r="G159" s="365"/>
      <c r="H159" s="137"/>
    </row>
    <row r="160" spans="1:8" ht="45" customHeight="1" x14ac:dyDescent="0.25">
      <c r="A160" s="136">
        <f t="shared" si="2"/>
        <v>148</v>
      </c>
      <c r="B160" s="161"/>
      <c r="C160" s="368"/>
      <c r="D160" s="369"/>
      <c r="E160" s="153"/>
      <c r="F160" s="364"/>
      <c r="G160" s="365"/>
      <c r="H160" s="137"/>
    </row>
    <row r="161" spans="1:8" ht="45" customHeight="1" x14ac:dyDescent="0.25">
      <c r="A161" s="136">
        <f t="shared" si="2"/>
        <v>149</v>
      </c>
      <c r="B161" s="161"/>
      <c r="C161" s="368"/>
      <c r="D161" s="369"/>
      <c r="E161" s="153"/>
      <c r="F161" s="364"/>
      <c r="G161" s="365"/>
      <c r="H161" s="137"/>
    </row>
    <row r="162" spans="1:8" ht="45" customHeight="1" x14ac:dyDescent="0.25">
      <c r="A162" s="136">
        <f t="shared" si="2"/>
        <v>150</v>
      </c>
      <c r="B162" s="161"/>
      <c r="C162" s="368"/>
      <c r="D162" s="369"/>
      <c r="E162" s="153"/>
      <c r="F162" s="364"/>
      <c r="G162" s="365"/>
      <c r="H162" s="137"/>
    </row>
    <row r="163" spans="1:8" ht="45" customHeight="1" x14ac:dyDescent="0.25">
      <c r="A163" s="136">
        <f t="shared" si="2"/>
        <v>151</v>
      </c>
      <c r="B163" s="161"/>
      <c r="C163" s="368"/>
      <c r="D163" s="369"/>
      <c r="E163" s="153"/>
      <c r="F163" s="364"/>
      <c r="G163" s="365"/>
      <c r="H163" s="137"/>
    </row>
    <row r="164" spans="1:8" ht="45" customHeight="1" x14ac:dyDescent="0.25">
      <c r="A164" s="136">
        <f t="shared" si="2"/>
        <v>152</v>
      </c>
      <c r="B164" s="161"/>
      <c r="C164" s="368"/>
      <c r="D164" s="369"/>
      <c r="E164" s="153"/>
      <c r="F164" s="364"/>
      <c r="G164" s="365"/>
      <c r="H164" s="137"/>
    </row>
    <row r="165" spans="1:8" ht="45" customHeight="1" x14ac:dyDescent="0.25">
      <c r="A165" s="136">
        <f t="shared" si="2"/>
        <v>153</v>
      </c>
      <c r="B165" s="161"/>
      <c r="C165" s="368"/>
      <c r="D165" s="369"/>
      <c r="E165" s="153"/>
      <c r="F165" s="364"/>
      <c r="G165" s="365"/>
      <c r="H165" s="137"/>
    </row>
    <row r="166" spans="1:8" ht="45" customHeight="1" x14ac:dyDescent="0.25">
      <c r="A166" s="136">
        <f t="shared" si="2"/>
        <v>154</v>
      </c>
      <c r="B166" s="161"/>
      <c r="C166" s="368"/>
      <c r="D166" s="369"/>
      <c r="E166" s="153"/>
      <c r="F166" s="364"/>
      <c r="G166" s="365"/>
      <c r="H166" s="137"/>
    </row>
    <row r="167" spans="1:8" ht="45" customHeight="1" x14ac:dyDescent="0.25">
      <c r="A167" s="136">
        <f t="shared" si="2"/>
        <v>155</v>
      </c>
      <c r="B167" s="161"/>
      <c r="C167" s="368"/>
      <c r="D167" s="369"/>
      <c r="E167" s="153"/>
      <c r="F167" s="364"/>
      <c r="G167" s="365"/>
      <c r="H167" s="137"/>
    </row>
    <row r="168" spans="1:8" ht="45" customHeight="1" x14ac:dyDescent="0.25">
      <c r="A168" s="136">
        <f t="shared" si="2"/>
        <v>156</v>
      </c>
      <c r="B168" s="161"/>
      <c r="C168" s="368"/>
      <c r="D168" s="369"/>
      <c r="E168" s="153"/>
      <c r="F168" s="364"/>
      <c r="G168" s="365"/>
      <c r="H168" s="137"/>
    </row>
    <row r="169" spans="1:8" ht="45" customHeight="1" x14ac:dyDescent="0.25">
      <c r="A169" s="136">
        <f t="shared" si="2"/>
        <v>157</v>
      </c>
      <c r="B169" s="161"/>
      <c r="C169" s="368"/>
      <c r="D169" s="369"/>
      <c r="E169" s="153"/>
      <c r="F169" s="364"/>
      <c r="G169" s="365"/>
      <c r="H169" s="137"/>
    </row>
    <row r="170" spans="1:8" ht="45" customHeight="1" x14ac:dyDescent="0.25">
      <c r="A170" s="136">
        <f t="shared" si="2"/>
        <v>158</v>
      </c>
      <c r="B170" s="161"/>
      <c r="C170" s="368"/>
      <c r="D170" s="369"/>
      <c r="E170" s="153"/>
      <c r="F170" s="364"/>
      <c r="G170" s="365"/>
      <c r="H170" s="137"/>
    </row>
    <row r="171" spans="1:8" ht="45" customHeight="1" x14ac:dyDescent="0.25">
      <c r="A171" s="136">
        <f t="shared" si="2"/>
        <v>159</v>
      </c>
      <c r="B171" s="161"/>
      <c r="C171" s="368"/>
      <c r="D171" s="369"/>
      <c r="E171" s="153"/>
      <c r="F171" s="364"/>
      <c r="G171" s="365"/>
      <c r="H171" s="137"/>
    </row>
    <row r="172" spans="1:8" ht="45" customHeight="1" x14ac:dyDescent="0.25">
      <c r="A172" s="136">
        <f t="shared" si="2"/>
        <v>160</v>
      </c>
      <c r="B172" s="161"/>
      <c r="C172" s="368"/>
      <c r="D172" s="369"/>
      <c r="E172" s="153"/>
      <c r="F172" s="364"/>
      <c r="G172" s="365"/>
      <c r="H172" s="137"/>
    </row>
    <row r="173" spans="1:8" ht="45" customHeight="1" x14ac:dyDescent="0.25">
      <c r="A173" s="136">
        <f t="shared" si="2"/>
        <v>161</v>
      </c>
      <c r="B173" s="161"/>
      <c r="C173" s="368"/>
      <c r="D173" s="369"/>
      <c r="E173" s="153"/>
      <c r="F173" s="364"/>
      <c r="G173" s="365"/>
      <c r="H173" s="137"/>
    </row>
    <row r="174" spans="1:8" ht="45" customHeight="1" x14ac:dyDescent="0.25">
      <c r="A174" s="136">
        <f t="shared" si="2"/>
        <v>162</v>
      </c>
      <c r="B174" s="161"/>
      <c r="C174" s="368"/>
      <c r="D174" s="369"/>
      <c r="E174" s="153"/>
      <c r="F174" s="364"/>
      <c r="G174" s="365"/>
      <c r="H174" s="137"/>
    </row>
    <row r="175" spans="1:8" ht="45" customHeight="1" x14ac:dyDescent="0.25">
      <c r="A175" s="136">
        <f t="shared" si="2"/>
        <v>163</v>
      </c>
      <c r="B175" s="161"/>
      <c r="C175" s="368"/>
      <c r="D175" s="369"/>
      <c r="E175" s="153"/>
      <c r="F175" s="364"/>
      <c r="G175" s="365"/>
      <c r="H175" s="137"/>
    </row>
    <row r="176" spans="1:8" ht="45" customHeight="1" x14ac:dyDescent="0.25">
      <c r="A176" s="136">
        <f t="shared" si="2"/>
        <v>164</v>
      </c>
      <c r="B176" s="161"/>
      <c r="C176" s="368"/>
      <c r="D176" s="369"/>
      <c r="E176" s="153"/>
      <c r="F176" s="364"/>
      <c r="G176" s="365"/>
      <c r="H176" s="137"/>
    </row>
    <row r="177" spans="1:8" ht="45" customHeight="1" x14ac:dyDescent="0.25">
      <c r="A177" s="136">
        <f t="shared" si="2"/>
        <v>165</v>
      </c>
      <c r="B177" s="161"/>
      <c r="C177" s="368"/>
      <c r="D177" s="369"/>
      <c r="E177" s="153"/>
      <c r="F177" s="364"/>
      <c r="G177" s="365"/>
      <c r="H177" s="137"/>
    </row>
    <row r="178" spans="1:8" ht="45" customHeight="1" x14ac:dyDescent="0.25">
      <c r="A178" s="136">
        <f t="shared" si="2"/>
        <v>166</v>
      </c>
      <c r="B178" s="161"/>
      <c r="C178" s="368"/>
      <c r="D178" s="369"/>
      <c r="E178" s="153"/>
      <c r="F178" s="364"/>
      <c r="G178" s="365"/>
      <c r="H178" s="137"/>
    </row>
    <row r="179" spans="1:8" ht="45" customHeight="1" x14ac:dyDescent="0.25">
      <c r="A179" s="136">
        <f t="shared" si="2"/>
        <v>167</v>
      </c>
      <c r="B179" s="161"/>
      <c r="C179" s="368"/>
      <c r="D179" s="369"/>
      <c r="E179" s="153"/>
      <c r="F179" s="364"/>
      <c r="G179" s="365"/>
      <c r="H179" s="137"/>
    </row>
    <row r="180" spans="1:8" ht="45" customHeight="1" x14ac:dyDescent="0.25">
      <c r="A180" s="136">
        <f t="shared" si="2"/>
        <v>168</v>
      </c>
      <c r="B180" s="161"/>
      <c r="C180" s="368"/>
      <c r="D180" s="369"/>
      <c r="E180" s="153"/>
      <c r="F180" s="364"/>
      <c r="G180" s="365"/>
      <c r="H180" s="137"/>
    </row>
    <row r="181" spans="1:8" ht="45" customHeight="1" x14ac:dyDescent="0.25">
      <c r="A181" s="136">
        <f t="shared" si="2"/>
        <v>169</v>
      </c>
      <c r="B181" s="161"/>
      <c r="C181" s="368"/>
      <c r="D181" s="369"/>
      <c r="E181" s="153"/>
      <c r="F181" s="364"/>
      <c r="G181" s="365"/>
      <c r="H181" s="137"/>
    </row>
    <row r="182" spans="1:8" ht="45" customHeight="1" x14ac:dyDescent="0.25">
      <c r="A182" s="136">
        <f t="shared" si="2"/>
        <v>170</v>
      </c>
      <c r="B182" s="161"/>
      <c r="C182" s="368"/>
      <c r="D182" s="369"/>
      <c r="E182" s="153"/>
      <c r="F182" s="364"/>
      <c r="G182" s="365"/>
      <c r="H182" s="137"/>
    </row>
    <row r="183" spans="1:8" ht="45" customHeight="1" x14ac:dyDescent="0.25">
      <c r="A183" s="136">
        <f t="shared" si="2"/>
        <v>171</v>
      </c>
      <c r="B183" s="161"/>
      <c r="C183" s="368"/>
      <c r="D183" s="369"/>
      <c r="E183" s="153"/>
      <c r="F183" s="364"/>
      <c r="G183" s="365"/>
      <c r="H183" s="137"/>
    </row>
    <row r="184" spans="1:8" ht="45" customHeight="1" x14ac:dyDescent="0.25">
      <c r="A184" s="136">
        <f t="shared" si="2"/>
        <v>172</v>
      </c>
      <c r="B184" s="161"/>
      <c r="C184" s="368"/>
      <c r="D184" s="369"/>
      <c r="E184" s="153"/>
      <c r="F184" s="364"/>
      <c r="G184" s="365"/>
      <c r="H184" s="137"/>
    </row>
    <row r="185" spans="1:8" ht="45" customHeight="1" x14ac:dyDescent="0.25">
      <c r="A185" s="136">
        <f t="shared" si="2"/>
        <v>173</v>
      </c>
      <c r="B185" s="161"/>
      <c r="C185" s="368"/>
      <c r="D185" s="369"/>
      <c r="E185" s="153"/>
      <c r="F185" s="364"/>
      <c r="G185" s="365"/>
      <c r="H185" s="137"/>
    </row>
    <row r="186" spans="1:8" ht="45" customHeight="1" x14ac:dyDescent="0.25">
      <c r="A186" s="136">
        <f t="shared" si="2"/>
        <v>174</v>
      </c>
      <c r="B186" s="161"/>
      <c r="C186" s="368"/>
      <c r="D186" s="369"/>
      <c r="E186" s="153"/>
      <c r="F186" s="364"/>
      <c r="G186" s="365"/>
      <c r="H186" s="137"/>
    </row>
    <row r="187" spans="1:8" ht="45" customHeight="1" x14ac:dyDescent="0.25">
      <c r="A187" s="136">
        <f t="shared" si="2"/>
        <v>175</v>
      </c>
      <c r="B187" s="161"/>
      <c r="C187" s="368"/>
      <c r="D187" s="369"/>
      <c r="E187" s="153"/>
      <c r="F187" s="364"/>
      <c r="G187" s="365"/>
      <c r="H187" s="137"/>
    </row>
    <row r="188" spans="1:8" ht="45" customHeight="1" x14ac:dyDescent="0.25">
      <c r="A188" s="136">
        <f t="shared" si="2"/>
        <v>176</v>
      </c>
      <c r="B188" s="161"/>
      <c r="C188" s="368"/>
      <c r="D188" s="369"/>
      <c r="E188" s="153"/>
      <c r="F188" s="364"/>
      <c r="G188" s="365"/>
      <c r="H188" s="137"/>
    </row>
    <row r="189" spans="1:8" ht="45" customHeight="1" x14ac:dyDescent="0.25">
      <c r="A189" s="136">
        <f t="shared" si="2"/>
        <v>177</v>
      </c>
      <c r="B189" s="161"/>
      <c r="C189" s="368"/>
      <c r="D189" s="369"/>
      <c r="E189" s="153"/>
      <c r="F189" s="364"/>
      <c r="G189" s="365"/>
      <c r="H189" s="137"/>
    </row>
    <row r="190" spans="1:8" ht="45" customHeight="1" x14ac:dyDescent="0.25">
      <c r="A190" s="136">
        <f t="shared" si="2"/>
        <v>178</v>
      </c>
      <c r="B190" s="161"/>
      <c r="C190" s="368"/>
      <c r="D190" s="369"/>
      <c r="E190" s="153"/>
      <c r="F190" s="364"/>
      <c r="G190" s="365"/>
      <c r="H190" s="137"/>
    </row>
    <row r="191" spans="1:8" ht="45" customHeight="1" x14ac:dyDescent="0.25">
      <c r="A191" s="136">
        <f t="shared" si="2"/>
        <v>179</v>
      </c>
      <c r="B191" s="161"/>
      <c r="C191" s="368"/>
      <c r="D191" s="369"/>
      <c r="E191" s="153"/>
      <c r="F191" s="364"/>
      <c r="G191" s="365"/>
      <c r="H191" s="137"/>
    </row>
    <row r="192" spans="1:8" ht="45" customHeight="1" x14ac:dyDescent="0.25">
      <c r="A192" s="136">
        <f t="shared" si="2"/>
        <v>180</v>
      </c>
      <c r="B192" s="161"/>
      <c r="C192" s="368"/>
      <c r="D192" s="369"/>
      <c r="E192" s="153"/>
      <c r="F192" s="364"/>
      <c r="G192" s="365"/>
      <c r="H192" s="137"/>
    </row>
    <row r="193" spans="1:8" ht="45" customHeight="1" x14ac:dyDescent="0.25">
      <c r="A193" s="136">
        <f t="shared" si="2"/>
        <v>181</v>
      </c>
      <c r="B193" s="161"/>
      <c r="C193" s="368"/>
      <c r="D193" s="369"/>
      <c r="E193" s="153"/>
      <c r="F193" s="364"/>
      <c r="G193" s="365"/>
      <c r="H193" s="137"/>
    </row>
    <row r="194" spans="1:8" ht="45" customHeight="1" x14ac:dyDescent="0.25">
      <c r="A194" s="136">
        <f t="shared" si="2"/>
        <v>182</v>
      </c>
      <c r="B194" s="161"/>
      <c r="C194" s="368"/>
      <c r="D194" s="369"/>
      <c r="E194" s="153"/>
      <c r="F194" s="364"/>
      <c r="G194" s="365"/>
      <c r="H194" s="137"/>
    </row>
    <row r="195" spans="1:8" ht="45" customHeight="1" x14ac:dyDescent="0.25">
      <c r="A195" s="136">
        <f t="shared" si="2"/>
        <v>183</v>
      </c>
      <c r="B195" s="161"/>
      <c r="C195" s="368"/>
      <c r="D195" s="369"/>
      <c r="E195" s="153"/>
      <c r="F195" s="364"/>
      <c r="G195" s="365"/>
      <c r="H195" s="137"/>
    </row>
    <row r="196" spans="1:8" ht="45" customHeight="1" x14ac:dyDescent="0.25">
      <c r="A196" s="136">
        <f t="shared" si="2"/>
        <v>184</v>
      </c>
      <c r="B196" s="161"/>
      <c r="C196" s="368"/>
      <c r="D196" s="369"/>
      <c r="E196" s="153"/>
      <c r="F196" s="364"/>
      <c r="G196" s="365"/>
      <c r="H196" s="137"/>
    </row>
    <row r="197" spans="1:8" ht="45" customHeight="1" x14ac:dyDescent="0.25">
      <c r="A197" s="136">
        <f t="shared" si="2"/>
        <v>185</v>
      </c>
      <c r="B197" s="161"/>
      <c r="C197" s="368"/>
      <c r="D197" s="369"/>
      <c r="E197" s="153"/>
      <c r="F197" s="364"/>
      <c r="G197" s="365"/>
      <c r="H197" s="137"/>
    </row>
    <row r="198" spans="1:8" ht="45" customHeight="1" x14ac:dyDescent="0.25">
      <c r="A198" s="136">
        <f t="shared" si="2"/>
        <v>186</v>
      </c>
      <c r="B198" s="161"/>
      <c r="C198" s="368"/>
      <c r="D198" s="369"/>
      <c r="E198" s="153"/>
      <c r="F198" s="364"/>
      <c r="G198" s="365"/>
      <c r="H198" s="137"/>
    </row>
    <row r="199" spans="1:8" ht="45" customHeight="1" x14ac:dyDescent="0.25">
      <c r="A199" s="136">
        <f t="shared" si="2"/>
        <v>187</v>
      </c>
      <c r="B199" s="161"/>
      <c r="C199" s="368"/>
      <c r="D199" s="369"/>
      <c r="E199" s="153"/>
      <c r="F199" s="364"/>
      <c r="G199" s="365"/>
      <c r="H199" s="137"/>
    </row>
    <row r="200" spans="1:8" ht="45" customHeight="1" x14ac:dyDescent="0.25">
      <c r="A200" s="136">
        <f t="shared" si="2"/>
        <v>188</v>
      </c>
      <c r="B200" s="161"/>
      <c r="C200" s="368"/>
      <c r="D200" s="369"/>
      <c r="E200" s="153"/>
      <c r="F200" s="364"/>
      <c r="G200" s="365"/>
      <c r="H200" s="137"/>
    </row>
    <row r="201" spans="1:8" ht="45" customHeight="1" x14ac:dyDescent="0.25">
      <c r="A201" s="136">
        <f t="shared" si="2"/>
        <v>189</v>
      </c>
      <c r="B201" s="161"/>
      <c r="C201" s="368"/>
      <c r="D201" s="369"/>
      <c r="E201" s="153"/>
      <c r="F201" s="364"/>
      <c r="G201" s="365"/>
      <c r="H201" s="137"/>
    </row>
    <row r="202" spans="1:8" ht="45" customHeight="1" x14ac:dyDescent="0.25">
      <c r="A202" s="136">
        <f t="shared" si="2"/>
        <v>190</v>
      </c>
      <c r="B202" s="161"/>
      <c r="C202" s="368"/>
      <c r="D202" s="369"/>
      <c r="E202" s="153"/>
      <c r="F202" s="364"/>
      <c r="G202" s="365"/>
      <c r="H202" s="137"/>
    </row>
    <row r="203" spans="1:8" ht="45" customHeight="1" x14ac:dyDescent="0.25">
      <c r="A203" s="136">
        <f t="shared" si="2"/>
        <v>191</v>
      </c>
      <c r="B203" s="161"/>
      <c r="C203" s="368"/>
      <c r="D203" s="369"/>
      <c r="E203" s="153"/>
      <c r="F203" s="364"/>
      <c r="G203" s="365"/>
      <c r="H203" s="137"/>
    </row>
    <row r="204" spans="1:8" ht="45" customHeight="1" x14ac:dyDescent="0.25">
      <c r="A204" s="136">
        <f t="shared" si="2"/>
        <v>192</v>
      </c>
      <c r="B204" s="161"/>
      <c r="C204" s="368"/>
      <c r="D204" s="369"/>
      <c r="E204" s="153"/>
      <c r="F204" s="364"/>
      <c r="G204" s="365"/>
      <c r="H204" s="137"/>
    </row>
    <row r="205" spans="1:8" ht="45" customHeight="1" x14ac:dyDescent="0.25">
      <c r="A205" s="136">
        <f t="shared" si="2"/>
        <v>193</v>
      </c>
      <c r="B205" s="172"/>
      <c r="C205" s="368"/>
      <c r="D205" s="369"/>
      <c r="E205" s="153"/>
      <c r="F205" s="364"/>
      <c r="G205" s="365"/>
      <c r="H205" s="137"/>
    </row>
    <row r="206" spans="1:8" ht="45" customHeight="1" x14ac:dyDescent="0.25">
      <c r="A206" s="136">
        <f t="shared" ref="A206:A269" si="3">ROW(A194)</f>
        <v>194</v>
      </c>
      <c r="B206" s="161"/>
      <c r="C206" s="368"/>
      <c r="D206" s="369"/>
      <c r="E206" s="153"/>
      <c r="F206" s="364"/>
      <c r="G206" s="365"/>
      <c r="H206" s="137"/>
    </row>
    <row r="207" spans="1:8" ht="45" customHeight="1" x14ac:dyDescent="0.25">
      <c r="A207" s="136">
        <f t="shared" si="3"/>
        <v>195</v>
      </c>
      <c r="B207" s="161"/>
      <c r="C207" s="368"/>
      <c r="D207" s="369"/>
      <c r="E207" s="153"/>
      <c r="F207" s="364"/>
      <c r="G207" s="365"/>
      <c r="H207" s="137"/>
    </row>
    <row r="208" spans="1:8" ht="45" customHeight="1" x14ac:dyDescent="0.25">
      <c r="A208" s="136">
        <f t="shared" si="3"/>
        <v>196</v>
      </c>
      <c r="B208" s="161"/>
      <c r="C208" s="368"/>
      <c r="D208" s="369"/>
      <c r="E208" s="153"/>
      <c r="F208" s="364"/>
      <c r="G208" s="365"/>
      <c r="H208" s="137"/>
    </row>
    <row r="209" spans="1:8" ht="45" customHeight="1" x14ac:dyDescent="0.25">
      <c r="A209" s="136">
        <f t="shared" si="3"/>
        <v>197</v>
      </c>
      <c r="B209" s="161"/>
      <c r="C209" s="368"/>
      <c r="D209" s="369"/>
      <c r="E209" s="153"/>
      <c r="F209" s="364"/>
      <c r="G209" s="365"/>
      <c r="H209" s="137"/>
    </row>
    <row r="210" spans="1:8" ht="45" customHeight="1" x14ac:dyDescent="0.25">
      <c r="A210" s="136">
        <f t="shared" si="3"/>
        <v>198</v>
      </c>
      <c r="B210" s="161"/>
      <c r="C210" s="368"/>
      <c r="D210" s="369"/>
      <c r="E210" s="153"/>
      <c r="F210" s="364"/>
      <c r="G210" s="365"/>
      <c r="H210" s="137"/>
    </row>
    <row r="211" spans="1:8" ht="45" customHeight="1" x14ac:dyDescent="0.25">
      <c r="A211" s="136">
        <f t="shared" si="3"/>
        <v>199</v>
      </c>
      <c r="B211" s="161"/>
      <c r="C211" s="368"/>
      <c r="D211" s="369"/>
      <c r="E211" s="153"/>
      <c r="F211" s="364"/>
      <c r="G211" s="365"/>
      <c r="H211" s="137"/>
    </row>
    <row r="212" spans="1:8" ht="45" customHeight="1" x14ac:dyDescent="0.25">
      <c r="A212" s="136">
        <f t="shared" si="3"/>
        <v>200</v>
      </c>
      <c r="B212" s="161"/>
      <c r="C212" s="368"/>
      <c r="D212" s="369"/>
      <c r="E212" s="153"/>
      <c r="F212" s="364"/>
      <c r="G212" s="365"/>
      <c r="H212" s="137"/>
    </row>
    <row r="213" spans="1:8" ht="45" customHeight="1" x14ac:dyDescent="0.25">
      <c r="A213" s="136">
        <f t="shared" si="3"/>
        <v>201</v>
      </c>
      <c r="B213" s="185"/>
      <c r="C213" s="386"/>
      <c r="D213" s="387"/>
      <c r="E213" s="264"/>
      <c r="F213" s="375"/>
      <c r="G213" s="376"/>
      <c r="H213" s="264"/>
    </row>
    <row r="214" spans="1:8" ht="45" customHeight="1" x14ac:dyDescent="0.25">
      <c r="A214" s="136">
        <f t="shared" si="3"/>
        <v>202</v>
      </c>
      <c r="B214" s="185"/>
      <c r="C214" s="386"/>
      <c r="D214" s="387"/>
      <c r="E214" s="264"/>
      <c r="F214" s="375"/>
      <c r="G214" s="376"/>
      <c r="H214" s="264"/>
    </row>
    <row r="215" spans="1:8" ht="45" customHeight="1" x14ac:dyDescent="0.25">
      <c r="A215" s="136">
        <f t="shared" si="3"/>
        <v>203</v>
      </c>
      <c r="B215" s="185"/>
      <c r="C215" s="386"/>
      <c r="D215" s="387"/>
      <c r="E215" s="264"/>
      <c r="F215" s="375"/>
      <c r="G215" s="376"/>
      <c r="H215" s="264"/>
    </row>
    <row r="216" spans="1:8" ht="45" customHeight="1" x14ac:dyDescent="0.25">
      <c r="A216" s="136">
        <f t="shared" si="3"/>
        <v>204</v>
      </c>
      <c r="B216" s="185"/>
      <c r="C216" s="386"/>
      <c r="D216" s="387"/>
      <c r="E216" s="264"/>
      <c r="F216" s="375"/>
      <c r="G216" s="376"/>
      <c r="H216" s="264"/>
    </row>
    <row r="217" spans="1:8" ht="45" customHeight="1" x14ac:dyDescent="0.25">
      <c r="A217" s="136">
        <f t="shared" si="3"/>
        <v>205</v>
      </c>
      <c r="B217" s="185"/>
      <c r="C217" s="386"/>
      <c r="D217" s="387"/>
      <c r="E217" s="264"/>
      <c r="F217" s="375"/>
      <c r="G217" s="376"/>
      <c r="H217" s="264"/>
    </row>
    <row r="218" spans="1:8" ht="45" customHeight="1" x14ac:dyDescent="0.25">
      <c r="A218" s="136">
        <f t="shared" si="3"/>
        <v>206</v>
      </c>
      <c r="B218" s="265"/>
      <c r="C218" s="386"/>
      <c r="D218" s="387"/>
      <c r="E218" s="264"/>
      <c r="F218" s="375"/>
      <c r="G218" s="376"/>
      <c r="H218" s="264"/>
    </row>
    <row r="219" spans="1:8" ht="45" customHeight="1" x14ac:dyDescent="0.25">
      <c r="A219" s="136">
        <f t="shared" si="3"/>
        <v>207</v>
      </c>
      <c r="B219" s="265"/>
      <c r="C219" s="386"/>
      <c r="D219" s="387"/>
      <c r="E219" s="264"/>
      <c r="F219" s="375"/>
      <c r="G219" s="376"/>
      <c r="H219" s="264"/>
    </row>
    <row r="220" spans="1:8" ht="45" customHeight="1" x14ac:dyDescent="0.25">
      <c r="A220" s="136">
        <f t="shared" si="3"/>
        <v>208</v>
      </c>
      <c r="B220" s="265"/>
      <c r="C220" s="386"/>
      <c r="D220" s="387"/>
      <c r="E220" s="264"/>
      <c r="F220" s="375"/>
      <c r="G220" s="376"/>
      <c r="H220" s="264"/>
    </row>
    <row r="221" spans="1:8" ht="45" customHeight="1" x14ac:dyDescent="0.25">
      <c r="A221" s="136">
        <f t="shared" si="3"/>
        <v>209</v>
      </c>
      <c r="B221" s="265"/>
      <c r="C221" s="386"/>
      <c r="D221" s="387"/>
      <c r="E221" s="264"/>
      <c r="F221" s="375"/>
      <c r="G221" s="376"/>
      <c r="H221" s="264"/>
    </row>
    <row r="222" spans="1:8" ht="45" customHeight="1" x14ac:dyDescent="0.25">
      <c r="A222" s="136">
        <f t="shared" si="3"/>
        <v>210</v>
      </c>
      <c r="B222" s="265"/>
      <c r="C222" s="386"/>
      <c r="D222" s="387"/>
      <c r="E222" s="264"/>
      <c r="F222" s="375"/>
      <c r="G222" s="376"/>
      <c r="H222" s="264"/>
    </row>
    <row r="223" spans="1:8" ht="45" customHeight="1" x14ac:dyDescent="0.25">
      <c r="A223" s="136">
        <f t="shared" si="3"/>
        <v>211</v>
      </c>
      <c r="B223" s="265"/>
      <c r="C223" s="386"/>
      <c r="D223" s="387"/>
      <c r="E223" s="264"/>
      <c r="F223" s="375"/>
      <c r="G223" s="376"/>
      <c r="H223" s="264"/>
    </row>
    <row r="224" spans="1:8" ht="45" customHeight="1" x14ac:dyDescent="0.25">
      <c r="A224" s="136">
        <f t="shared" si="3"/>
        <v>212</v>
      </c>
      <c r="B224" s="265"/>
      <c r="C224" s="386"/>
      <c r="D224" s="387"/>
      <c r="E224" s="264"/>
      <c r="F224" s="375"/>
      <c r="G224" s="376"/>
      <c r="H224" s="264"/>
    </row>
    <row r="225" spans="1:8" ht="45" customHeight="1" x14ac:dyDescent="0.25">
      <c r="A225" s="136">
        <f t="shared" si="3"/>
        <v>213</v>
      </c>
      <c r="B225" s="265"/>
      <c r="C225" s="386"/>
      <c r="D225" s="387"/>
      <c r="E225" s="264"/>
      <c r="F225" s="375"/>
      <c r="G225" s="376"/>
      <c r="H225" s="264"/>
    </row>
    <row r="226" spans="1:8" ht="45" customHeight="1" x14ac:dyDescent="0.25">
      <c r="A226" s="136">
        <f t="shared" si="3"/>
        <v>214</v>
      </c>
      <c r="B226" s="265"/>
      <c r="C226" s="386"/>
      <c r="D226" s="387"/>
      <c r="E226" s="264"/>
      <c r="F226" s="375"/>
      <c r="G226" s="376"/>
      <c r="H226" s="264"/>
    </row>
    <row r="227" spans="1:8" ht="45" customHeight="1" x14ac:dyDescent="0.25">
      <c r="A227" s="136">
        <f t="shared" si="3"/>
        <v>215</v>
      </c>
      <c r="B227" s="265"/>
      <c r="C227" s="386"/>
      <c r="D227" s="387"/>
      <c r="E227" s="264"/>
      <c r="F227" s="375"/>
      <c r="G227" s="376"/>
      <c r="H227" s="264"/>
    </row>
    <row r="228" spans="1:8" ht="45" customHeight="1" x14ac:dyDescent="0.25">
      <c r="A228" s="136">
        <f t="shared" si="3"/>
        <v>216</v>
      </c>
      <c r="B228" s="265"/>
      <c r="C228" s="386"/>
      <c r="D228" s="387"/>
      <c r="E228" s="264"/>
      <c r="F228" s="375"/>
      <c r="G228" s="376"/>
      <c r="H228" s="264"/>
    </row>
    <row r="229" spans="1:8" ht="45" customHeight="1" x14ac:dyDescent="0.25">
      <c r="A229" s="136">
        <f t="shared" si="3"/>
        <v>217</v>
      </c>
      <c r="B229" s="265"/>
      <c r="C229" s="386"/>
      <c r="D229" s="387"/>
      <c r="E229" s="264"/>
      <c r="F229" s="375"/>
      <c r="G229" s="376"/>
      <c r="H229" s="264"/>
    </row>
    <row r="230" spans="1:8" ht="45" customHeight="1" x14ac:dyDescent="0.25">
      <c r="A230" s="136">
        <f t="shared" si="3"/>
        <v>218</v>
      </c>
      <c r="B230" s="265"/>
      <c r="C230" s="386"/>
      <c r="D230" s="387"/>
      <c r="E230" s="264"/>
      <c r="F230" s="375"/>
      <c r="G230" s="376"/>
      <c r="H230" s="264"/>
    </row>
    <row r="231" spans="1:8" ht="45" customHeight="1" x14ac:dyDescent="0.25">
      <c r="A231" s="136">
        <f t="shared" si="3"/>
        <v>219</v>
      </c>
      <c r="B231" s="265"/>
      <c r="C231" s="386"/>
      <c r="D231" s="387"/>
      <c r="E231" s="264"/>
      <c r="F231" s="375"/>
      <c r="G231" s="376"/>
      <c r="H231" s="264"/>
    </row>
    <row r="232" spans="1:8" ht="45" customHeight="1" x14ac:dyDescent="0.25">
      <c r="A232" s="136">
        <f t="shared" si="3"/>
        <v>220</v>
      </c>
      <c r="B232" s="265"/>
      <c r="C232" s="386"/>
      <c r="D232" s="387"/>
      <c r="E232" s="264"/>
      <c r="F232" s="375"/>
      <c r="G232" s="376"/>
      <c r="H232" s="264"/>
    </row>
    <row r="233" spans="1:8" ht="45" customHeight="1" x14ac:dyDescent="0.25">
      <c r="A233" s="136">
        <f t="shared" si="3"/>
        <v>221</v>
      </c>
      <c r="B233" s="265"/>
      <c r="C233" s="386"/>
      <c r="D233" s="387"/>
      <c r="E233" s="264"/>
      <c r="F233" s="375"/>
      <c r="G233" s="376"/>
      <c r="H233" s="264"/>
    </row>
    <row r="234" spans="1:8" ht="45" customHeight="1" x14ac:dyDescent="0.25">
      <c r="A234" s="136">
        <f t="shared" si="3"/>
        <v>222</v>
      </c>
      <c r="B234" s="265"/>
      <c r="C234" s="386"/>
      <c r="D234" s="387"/>
      <c r="E234" s="264"/>
      <c r="F234" s="375"/>
      <c r="G234" s="376"/>
      <c r="H234" s="264"/>
    </row>
    <row r="235" spans="1:8" ht="45" customHeight="1" x14ac:dyDescent="0.25">
      <c r="A235" s="136">
        <f t="shared" si="3"/>
        <v>223</v>
      </c>
      <c r="B235" s="265"/>
      <c r="C235" s="386"/>
      <c r="D235" s="387"/>
      <c r="E235" s="264"/>
      <c r="F235" s="375"/>
      <c r="G235" s="376"/>
      <c r="H235" s="264"/>
    </row>
    <row r="236" spans="1:8" ht="45" customHeight="1" x14ac:dyDescent="0.25">
      <c r="A236" s="136">
        <f t="shared" si="3"/>
        <v>224</v>
      </c>
      <c r="B236" s="265"/>
      <c r="C236" s="386"/>
      <c r="D236" s="387"/>
      <c r="E236" s="264"/>
      <c r="F236" s="375"/>
      <c r="G236" s="376"/>
      <c r="H236" s="264"/>
    </row>
    <row r="237" spans="1:8" ht="45" customHeight="1" x14ac:dyDescent="0.25">
      <c r="A237" s="136">
        <f t="shared" si="3"/>
        <v>225</v>
      </c>
      <c r="B237" s="265"/>
      <c r="C237" s="386"/>
      <c r="D237" s="387"/>
      <c r="E237" s="264"/>
      <c r="F237" s="375"/>
      <c r="G237" s="376"/>
      <c r="H237" s="264"/>
    </row>
    <row r="238" spans="1:8" ht="45" customHeight="1" x14ac:dyDescent="0.25">
      <c r="A238" s="136">
        <f t="shared" si="3"/>
        <v>226</v>
      </c>
      <c r="B238" s="265"/>
      <c r="C238" s="386"/>
      <c r="D238" s="387"/>
      <c r="E238" s="264"/>
      <c r="F238" s="375"/>
      <c r="G238" s="376"/>
      <c r="H238" s="264"/>
    </row>
    <row r="239" spans="1:8" ht="45" customHeight="1" x14ac:dyDescent="0.25">
      <c r="A239" s="136">
        <f t="shared" si="3"/>
        <v>227</v>
      </c>
      <c r="B239" s="265"/>
      <c r="C239" s="386"/>
      <c r="D239" s="387"/>
      <c r="E239" s="264"/>
      <c r="F239" s="375"/>
      <c r="G239" s="376"/>
      <c r="H239" s="264"/>
    </row>
    <row r="240" spans="1:8" ht="45" customHeight="1" x14ac:dyDescent="0.25">
      <c r="A240" s="136">
        <f t="shared" si="3"/>
        <v>228</v>
      </c>
      <c r="B240" s="265"/>
      <c r="C240" s="386"/>
      <c r="D240" s="387"/>
      <c r="E240" s="264"/>
      <c r="F240" s="375"/>
      <c r="G240" s="376"/>
      <c r="H240" s="264"/>
    </row>
    <row r="241" spans="1:8" ht="45" customHeight="1" x14ac:dyDescent="0.25">
      <c r="A241" s="136">
        <f t="shared" si="3"/>
        <v>229</v>
      </c>
      <c r="B241" s="265"/>
      <c r="C241" s="386"/>
      <c r="D241" s="387"/>
      <c r="E241" s="264"/>
      <c r="F241" s="375"/>
      <c r="G241" s="376"/>
      <c r="H241" s="264"/>
    </row>
    <row r="242" spans="1:8" ht="45" customHeight="1" x14ac:dyDescent="0.25">
      <c r="A242" s="136">
        <f t="shared" si="3"/>
        <v>230</v>
      </c>
      <c r="B242" s="265"/>
      <c r="C242" s="386"/>
      <c r="D242" s="387"/>
      <c r="E242" s="264"/>
      <c r="F242" s="375"/>
      <c r="G242" s="376"/>
      <c r="H242" s="264"/>
    </row>
    <row r="243" spans="1:8" ht="45" customHeight="1" x14ac:dyDescent="0.25">
      <c r="A243" s="136">
        <f t="shared" si="3"/>
        <v>231</v>
      </c>
      <c r="B243" s="265"/>
      <c r="C243" s="386"/>
      <c r="D243" s="387"/>
      <c r="E243" s="264"/>
      <c r="F243" s="375"/>
      <c r="G243" s="376"/>
      <c r="H243" s="264"/>
    </row>
    <row r="244" spans="1:8" ht="45" customHeight="1" x14ac:dyDescent="0.25">
      <c r="A244" s="136">
        <f t="shared" si="3"/>
        <v>232</v>
      </c>
      <c r="B244" s="265"/>
      <c r="C244" s="386"/>
      <c r="D244" s="387"/>
      <c r="E244" s="264"/>
      <c r="F244" s="375"/>
      <c r="G244" s="376"/>
      <c r="H244" s="264"/>
    </row>
    <row r="245" spans="1:8" ht="45" customHeight="1" x14ac:dyDescent="0.25">
      <c r="A245" s="136">
        <f t="shared" si="3"/>
        <v>233</v>
      </c>
      <c r="B245" s="265"/>
      <c r="C245" s="386"/>
      <c r="D245" s="387"/>
      <c r="E245" s="264"/>
      <c r="F245" s="375"/>
      <c r="G245" s="376"/>
      <c r="H245" s="264"/>
    </row>
    <row r="246" spans="1:8" ht="45" customHeight="1" x14ac:dyDescent="0.25">
      <c r="A246" s="136">
        <f t="shared" si="3"/>
        <v>234</v>
      </c>
      <c r="B246" s="265"/>
      <c r="C246" s="386"/>
      <c r="D246" s="387"/>
      <c r="E246" s="264"/>
      <c r="F246" s="375"/>
      <c r="G246" s="376"/>
      <c r="H246" s="264"/>
    </row>
    <row r="247" spans="1:8" ht="45" customHeight="1" x14ac:dyDescent="0.25">
      <c r="A247" s="136">
        <f t="shared" si="3"/>
        <v>235</v>
      </c>
      <c r="B247" s="265"/>
      <c r="C247" s="386"/>
      <c r="D247" s="387"/>
      <c r="E247" s="264"/>
      <c r="F247" s="375"/>
      <c r="G247" s="376"/>
      <c r="H247" s="264"/>
    </row>
    <row r="248" spans="1:8" ht="45" customHeight="1" x14ac:dyDescent="0.25">
      <c r="A248" s="136">
        <f t="shared" si="3"/>
        <v>236</v>
      </c>
      <c r="B248" s="265"/>
      <c r="C248" s="386"/>
      <c r="D248" s="387"/>
      <c r="E248" s="264"/>
      <c r="F248" s="375"/>
      <c r="G248" s="376"/>
      <c r="H248" s="264"/>
    </row>
    <row r="249" spans="1:8" ht="45" customHeight="1" x14ac:dyDescent="0.25">
      <c r="A249" s="136">
        <f t="shared" si="3"/>
        <v>237</v>
      </c>
      <c r="B249" s="265"/>
      <c r="C249" s="386"/>
      <c r="D249" s="387"/>
      <c r="E249" s="264"/>
      <c r="F249" s="375"/>
      <c r="G249" s="376"/>
      <c r="H249" s="264"/>
    </row>
    <row r="250" spans="1:8" ht="45" customHeight="1" x14ac:dyDescent="0.25">
      <c r="A250" s="136">
        <f t="shared" si="3"/>
        <v>238</v>
      </c>
      <c r="B250" s="265"/>
      <c r="C250" s="386"/>
      <c r="D250" s="387"/>
      <c r="E250" s="264"/>
      <c r="F250" s="375"/>
      <c r="G250" s="376"/>
      <c r="H250" s="264"/>
    </row>
    <row r="251" spans="1:8" ht="45" customHeight="1" x14ac:dyDescent="0.25">
      <c r="A251" s="136">
        <f t="shared" si="3"/>
        <v>239</v>
      </c>
      <c r="B251" s="265"/>
      <c r="C251" s="386"/>
      <c r="D251" s="387"/>
      <c r="E251" s="264"/>
      <c r="F251" s="375"/>
      <c r="G251" s="376"/>
      <c r="H251" s="264"/>
    </row>
    <row r="252" spans="1:8" ht="45" customHeight="1" x14ac:dyDescent="0.25">
      <c r="A252" s="136">
        <f t="shared" si="3"/>
        <v>240</v>
      </c>
      <c r="B252" s="265"/>
      <c r="C252" s="386"/>
      <c r="D252" s="387"/>
      <c r="E252" s="264"/>
      <c r="F252" s="375"/>
      <c r="G252" s="376"/>
      <c r="H252" s="264"/>
    </row>
    <row r="253" spans="1:8" ht="45" customHeight="1" x14ac:dyDescent="0.25">
      <c r="A253" s="136">
        <f t="shared" si="3"/>
        <v>241</v>
      </c>
      <c r="B253" s="265"/>
      <c r="C253" s="386"/>
      <c r="D253" s="387"/>
      <c r="E253" s="264"/>
      <c r="F253" s="375"/>
      <c r="G253" s="376"/>
      <c r="H253" s="264"/>
    </row>
    <row r="254" spans="1:8" ht="45" customHeight="1" x14ac:dyDescent="0.25">
      <c r="A254" s="136">
        <f t="shared" si="3"/>
        <v>242</v>
      </c>
      <c r="B254" s="265"/>
      <c r="C254" s="386"/>
      <c r="D254" s="387"/>
      <c r="E254" s="264"/>
      <c r="F254" s="375"/>
      <c r="G254" s="376"/>
      <c r="H254" s="264"/>
    </row>
    <row r="255" spans="1:8" ht="45" customHeight="1" x14ac:dyDescent="0.25">
      <c r="A255" s="136">
        <f t="shared" si="3"/>
        <v>243</v>
      </c>
      <c r="B255" s="265"/>
      <c r="C255" s="386"/>
      <c r="D255" s="387"/>
      <c r="E255" s="264"/>
      <c r="F255" s="375"/>
      <c r="G255" s="376"/>
      <c r="H255" s="264"/>
    </row>
    <row r="256" spans="1:8" ht="45" customHeight="1" x14ac:dyDescent="0.25">
      <c r="A256" s="136">
        <f t="shared" si="3"/>
        <v>244</v>
      </c>
      <c r="B256" s="265"/>
      <c r="C256" s="386"/>
      <c r="D256" s="387"/>
      <c r="E256" s="264"/>
      <c r="F256" s="375"/>
      <c r="G256" s="376"/>
      <c r="H256" s="264"/>
    </row>
    <row r="257" spans="1:8" ht="45" customHeight="1" x14ac:dyDescent="0.25">
      <c r="A257" s="136">
        <f t="shared" si="3"/>
        <v>245</v>
      </c>
      <c r="B257" s="265"/>
      <c r="C257" s="386"/>
      <c r="D257" s="387"/>
      <c r="E257" s="264"/>
      <c r="F257" s="375"/>
      <c r="G257" s="376"/>
      <c r="H257" s="264"/>
    </row>
    <row r="258" spans="1:8" ht="45" customHeight="1" x14ac:dyDescent="0.25">
      <c r="A258" s="136">
        <f t="shared" si="3"/>
        <v>246</v>
      </c>
      <c r="B258" s="265"/>
      <c r="C258" s="386"/>
      <c r="D258" s="387"/>
      <c r="E258" s="264"/>
      <c r="F258" s="375"/>
      <c r="G258" s="376"/>
      <c r="H258" s="264"/>
    </row>
    <row r="259" spans="1:8" ht="45" customHeight="1" x14ac:dyDescent="0.25">
      <c r="A259" s="136">
        <f t="shared" si="3"/>
        <v>247</v>
      </c>
      <c r="B259" s="265"/>
      <c r="C259" s="386"/>
      <c r="D259" s="387"/>
      <c r="E259" s="264"/>
      <c r="F259" s="375"/>
      <c r="G259" s="376"/>
      <c r="H259" s="264"/>
    </row>
    <row r="260" spans="1:8" ht="45" customHeight="1" x14ac:dyDescent="0.25">
      <c r="A260" s="136">
        <f t="shared" si="3"/>
        <v>248</v>
      </c>
      <c r="B260" s="265"/>
      <c r="C260" s="386"/>
      <c r="D260" s="387"/>
      <c r="E260" s="264"/>
      <c r="F260" s="375"/>
      <c r="G260" s="376"/>
      <c r="H260" s="264"/>
    </row>
    <row r="261" spans="1:8" ht="45" customHeight="1" x14ac:dyDescent="0.25">
      <c r="A261" s="136">
        <f t="shared" si="3"/>
        <v>249</v>
      </c>
      <c r="B261" s="265"/>
      <c r="C261" s="386"/>
      <c r="D261" s="387"/>
      <c r="E261" s="264"/>
      <c r="F261" s="375"/>
      <c r="G261" s="376"/>
      <c r="H261" s="264"/>
    </row>
    <row r="262" spans="1:8" ht="45" customHeight="1" x14ac:dyDescent="0.25">
      <c r="A262" s="136">
        <f t="shared" si="3"/>
        <v>250</v>
      </c>
      <c r="B262" s="265"/>
      <c r="C262" s="386"/>
      <c r="D262" s="387"/>
      <c r="E262" s="264"/>
      <c r="F262" s="375"/>
      <c r="G262" s="376"/>
      <c r="H262" s="264"/>
    </row>
    <row r="263" spans="1:8" ht="45" customHeight="1" x14ac:dyDescent="0.25">
      <c r="A263" s="136">
        <f t="shared" si="3"/>
        <v>251</v>
      </c>
      <c r="B263" s="265"/>
      <c r="C263" s="386"/>
      <c r="D263" s="387"/>
      <c r="E263" s="264"/>
      <c r="F263" s="375"/>
      <c r="G263" s="376"/>
      <c r="H263" s="264"/>
    </row>
    <row r="264" spans="1:8" ht="45" customHeight="1" x14ac:dyDescent="0.25">
      <c r="A264" s="136">
        <f t="shared" si="3"/>
        <v>252</v>
      </c>
      <c r="B264" s="265"/>
      <c r="C264" s="386"/>
      <c r="D264" s="387"/>
      <c r="E264" s="264"/>
      <c r="F264" s="375"/>
      <c r="G264" s="376"/>
      <c r="H264" s="264"/>
    </row>
    <row r="265" spans="1:8" ht="45" customHeight="1" x14ac:dyDescent="0.25">
      <c r="A265" s="136">
        <f t="shared" si="3"/>
        <v>253</v>
      </c>
      <c r="B265" s="265"/>
      <c r="C265" s="386"/>
      <c r="D265" s="387"/>
      <c r="E265" s="264"/>
      <c r="F265" s="375"/>
      <c r="G265" s="376"/>
      <c r="H265" s="264"/>
    </row>
    <row r="266" spans="1:8" ht="45" customHeight="1" x14ac:dyDescent="0.25">
      <c r="A266" s="136">
        <f t="shared" si="3"/>
        <v>254</v>
      </c>
      <c r="B266" s="265"/>
      <c r="C266" s="386"/>
      <c r="D266" s="387"/>
      <c r="E266" s="264"/>
      <c r="F266" s="375"/>
      <c r="G266" s="376"/>
      <c r="H266" s="264"/>
    </row>
    <row r="267" spans="1:8" ht="45" customHeight="1" x14ac:dyDescent="0.25">
      <c r="A267" s="136">
        <f t="shared" si="3"/>
        <v>255</v>
      </c>
      <c r="B267" s="265"/>
      <c r="C267" s="386"/>
      <c r="D267" s="387"/>
      <c r="E267" s="264"/>
      <c r="F267" s="375"/>
      <c r="G267" s="376"/>
      <c r="H267" s="264"/>
    </row>
    <row r="268" spans="1:8" ht="45" customHeight="1" x14ac:dyDescent="0.25">
      <c r="A268" s="136">
        <f t="shared" si="3"/>
        <v>256</v>
      </c>
      <c r="B268" s="265"/>
      <c r="C268" s="386"/>
      <c r="D268" s="387"/>
      <c r="E268" s="264"/>
      <c r="F268" s="375"/>
      <c r="G268" s="376"/>
      <c r="H268" s="264"/>
    </row>
    <row r="269" spans="1:8" ht="45" customHeight="1" x14ac:dyDescent="0.25">
      <c r="A269" s="136">
        <f t="shared" si="3"/>
        <v>257</v>
      </c>
      <c r="B269" s="265"/>
      <c r="C269" s="386"/>
      <c r="D269" s="387"/>
      <c r="E269" s="264"/>
      <c r="F269" s="375"/>
      <c r="G269" s="376"/>
      <c r="H269" s="264"/>
    </row>
    <row r="270" spans="1:8" ht="45" customHeight="1" x14ac:dyDescent="0.25">
      <c r="A270" s="136">
        <f t="shared" ref="A270:A333" si="4">ROW(A258)</f>
        <v>258</v>
      </c>
      <c r="B270" s="265"/>
      <c r="C270" s="386"/>
      <c r="D270" s="387"/>
      <c r="E270" s="264"/>
      <c r="F270" s="375"/>
      <c r="G270" s="376"/>
      <c r="H270" s="264"/>
    </row>
    <row r="271" spans="1:8" ht="45" customHeight="1" x14ac:dyDescent="0.25">
      <c r="A271" s="136">
        <f t="shared" si="4"/>
        <v>259</v>
      </c>
      <c r="B271" s="265"/>
      <c r="C271" s="386"/>
      <c r="D271" s="387"/>
      <c r="E271" s="264"/>
      <c r="F271" s="375"/>
      <c r="G271" s="376"/>
      <c r="H271" s="264"/>
    </row>
    <row r="272" spans="1:8" ht="45" customHeight="1" x14ac:dyDescent="0.25">
      <c r="A272" s="136">
        <f t="shared" si="4"/>
        <v>260</v>
      </c>
      <c r="B272" s="265"/>
      <c r="C272" s="386"/>
      <c r="D272" s="387"/>
      <c r="E272" s="264"/>
      <c r="F272" s="375"/>
      <c r="G272" s="376"/>
      <c r="H272" s="264"/>
    </row>
    <row r="273" spans="1:8" ht="45" customHeight="1" x14ac:dyDescent="0.25">
      <c r="A273" s="136">
        <f t="shared" si="4"/>
        <v>261</v>
      </c>
      <c r="B273" s="265"/>
      <c r="C273" s="386"/>
      <c r="D273" s="387"/>
      <c r="E273" s="264"/>
      <c r="F273" s="375"/>
      <c r="G273" s="376"/>
      <c r="H273" s="264"/>
    </row>
    <row r="274" spans="1:8" ht="45" customHeight="1" x14ac:dyDescent="0.25">
      <c r="A274" s="136">
        <f t="shared" si="4"/>
        <v>262</v>
      </c>
      <c r="B274" s="265"/>
      <c r="C274" s="386"/>
      <c r="D274" s="387"/>
      <c r="E274" s="264"/>
      <c r="F274" s="375"/>
      <c r="G274" s="376"/>
      <c r="H274" s="264"/>
    </row>
    <row r="275" spans="1:8" ht="45" customHeight="1" x14ac:dyDescent="0.25">
      <c r="A275" s="136">
        <f t="shared" si="4"/>
        <v>263</v>
      </c>
      <c r="B275" s="265"/>
      <c r="C275" s="386"/>
      <c r="D275" s="387"/>
      <c r="E275" s="264"/>
      <c r="F275" s="375"/>
      <c r="G275" s="376"/>
      <c r="H275" s="264"/>
    </row>
    <row r="276" spans="1:8" ht="45" customHeight="1" x14ac:dyDescent="0.25">
      <c r="A276" s="136">
        <f t="shared" si="4"/>
        <v>264</v>
      </c>
      <c r="B276" s="265"/>
      <c r="C276" s="386"/>
      <c r="D276" s="387"/>
      <c r="E276" s="264"/>
      <c r="F276" s="375"/>
      <c r="G276" s="376"/>
      <c r="H276" s="264"/>
    </row>
    <row r="277" spans="1:8" ht="45" customHeight="1" x14ac:dyDescent="0.25">
      <c r="A277" s="136">
        <f t="shared" si="4"/>
        <v>265</v>
      </c>
      <c r="B277" s="265"/>
      <c r="C277" s="386"/>
      <c r="D277" s="387"/>
      <c r="E277" s="264"/>
      <c r="F277" s="375"/>
      <c r="G277" s="376"/>
      <c r="H277" s="264"/>
    </row>
    <row r="278" spans="1:8" ht="45" customHeight="1" x14ac:dyDescent="0.25">
      <c r="A278" s="136">
        <f t="shared" si="4"/>
        <v>266</v>
      </c>
      <c r="B278" s="265"/>
      <c r="C278" s="386"/>
      <c r="D278" s="387"/>
      <c r="E278" s="264"/>
      <c r="F278" s="375"/>
      <c r="G278" s="376"/>
      <c r="H278" s="264"/>
    </row>
    <row r="279" spans="1:8" ht="45" customHeight="1" x14ac:dyDescent="0.25">
      <c r="A279" s="136">
        <f t="shared" si="4"/>
        <v>267</v>
      </c>
      <c r="B279" s="265"/>
      <c r="C279" s="386"/>
      <c r="D279" s="387"/>
      <c r="E279" s="264"/>
      <c r="F279" s="375"/>
      <c r="G279" s="376"/>
      <c r="H279" s="264"/>
    </row>
    <row r="280" spans="1:8" ht="45" customHeight="1" x14ac:dyDescent="0.25">
      <c r="A280" s="136">
        <f t="shared" si="4"/>
        <v>268</v>
      </c>
      <c r="B280" s="265"/>
      <c r="C280" s="386"/>
      <c r="D280" s="387"/>
      <c r="E280" s="264"/>
      <c r="F280" s="375"/>
      <c r="G280" s="376"/>
      <c r="H280" s="264"/>
    </row>
    <row r="281" spans="1:8" ht="45" customHeight="1" x14ac:dyDescent="0.25">
      <c r="A281" s="136">
        <f t="shared" si="4"/>
        <v>269</v>
      </c>
      <c r="B281" s="265"/>
      <c r="C281" s="386"/>
      <c r="D281" s="387"/>
      <c r="E281" s="264"/>
      <c r="F281" s="375"/>
      <c r="G281" s="376"/>
      <c r="H281" s="264"/>
    </row>
    <row r="282" spans="1:8" ht="45" customHeight="1" x14ac:dyDescent="0.25">
      <c r="A282" s="136">
        <f t="shared" si="4"/>
        <v>270</v>
      </c>
      <c r="B282" s="265"/>
      <c r="C282" s="386"/>
      <c r="D282" s="387"/>
      <c r="E282" s="264"/>
      <c r="F282" s="375"/>
      <c r="G282" s="376"/>
      <c r="H282" s="264"/>
    </row>
    <row r="283" spans="1:8" ht="45" customHeight="1" x14ac:dyDescent="0.25">
      <c r="A283" s="136">
        <f t="shared" si="4"/>
        <v>271</v>
      </c>
      <c r="B283" s="265"/>
      <c r="C283" s="386"/>
      <c r="D283" s="387"/>
      <c r="E283" s="264"/>
      <c r="F283" s="375"/>
      <c r="G283" s="376"/>
      <c r="H283" s="264"/>
    </row>
    <row r="284" spans="1:8" ht="45" customHeight="1" x14ac:dyDescent="0.25">
      <c r="A284" s="136">
        <f t="shared" si="4"/>
        <v>272</v>
      </c>
      <c r="B284" s="265"/>
      <c r="C284" s="386"/>
      <c r="D284" s="387"/>
      <c r="E284" s="264"/>
      <c r="F284" s="375"/>
      <c r="G284" s="376"/>
      <c r="H284" s="264"/>
    </row>
    <row r="285" spans="1:8" ht="45" customHeight="1" x14ac:dyDescent="0.25">
      <c r="A285" s="136">
        <f t="shared" si="4"/>
        <v>273</v>
      </c>
      <c r="B285" s="265"/>
      <c r="C285" s="386"/>
      <c r="D285" s="387"/>
      <c r="E285" s="264"/>
      <c r="F285" s="375"/>
      <c r="G285" s="376"/>
      <c r="H285" s="264"/>
    </row>
    <row r="286" spans="1:8" ht="45" customHeight="1" x14ac:dyDescent="0.25">
      <c r="A286" s="136">
        <f t="shared" si="4"/>
        <v>274</v>
      </c>
      <c r="B286" s="265"/>
      <c r="C286" s="386"/>
      <c r="D286" s="387"/>
      <c r="E286" s="264"/>
      <c r="F286" s="375"/>
      <c r="G286" s="376"/>
      <c r="H286" s="264"/>
    </row>
    <row r="287" spans="1:8" ht="45" customHeight="1" x14ac:dyDescent="0.25">
      <c r="A287" s="136">
        <f t="shared" si="4"/>
        <v>275</v>
      </c>
      <c r="B287" s="265"/>
      <c r="C287" s="386"/>
      <c r="D287" s="387"/>
      <c r="E287" s="264"/>
      <c r="F287" s="375"/>
      <c r="G287" s="376"/>
      <c r="H287" s="264"/>
    </row>
    <row r="288" spans="1:8" ht="45" customHeight="1" x14ac:dyDescent="0.25">
      <c r="A288" s="136">
        <f t="shared" si="4"/>
        <v>276</v>
      </c>
      <c r="B288" s="265"/>
      <c r="C288" s="386"/>
      <c r="D288" s="387"/>
      <c r="E288" s="264"/>
      <c r="F288" s="375"/>
      <c r="G288" s="376"/>
      <c r="H288" s="264"/>
    </row>
    <row r="289" spans="1:8" ht="45" customHeight="1" x14ac:dyDescent="0.25">
      <c r="A289" s="136">
        <f t="shared" si="4"/>
        <v>277</v>
      </c>
      <c r="B289" s="265"/>
      <c r="C289" s="386"/>
      <c r="D289" s="387"/>
      <c r="E289" s="264"/>
      <c r="F289" s="375"/>
      <c r="G289" s="376"/>
      <c r="H289" s="264"/>
    </row>
    <row r="290" spans="1:8" ht="45" customHeight="1" x14ac:dyDescent="0.25">
      <c r="A290" s="136">
        <f t="shared" si="4"/>
        <v>278</v>
      </c>
      <c r="B290" s="265"/>
      <c r="C290" s="386"/>
      <c r="D290" s="387"/>
      <c r="E290" s="264"/>
      <c r="F290" s="375"/>
      <c r="G290" s="376"/>
      <c r="H290" s="264"/>
    </row>
    <row r="291" spans="1:8" ht="45" customHeight="1" x14ac:dyDescent="0.25">
      <c r="A291" s="136">
        <f t="shared" si="4"/>
        <v>279</v>
      </c>
      <c r="B291" s="265"/>
      <c r="C291" s="386"/>
      <c r="D291" s="387"/>
      <c r="E291" s="264"/>
      <c r="F291" s="375"/>
      <c r="G291" s="376"/>
      <c r="H291" s="264"/>
    </row>
    <row r="292" spans="1:8" ht="45" customHeight="1" x14ac:dyDescent="0.25">
      <c r="A292" s="136">
        <f t="shared" si="4"/>
        <v>280</v>
      </c>
      <c r="B292" s="265"/>
      <c r="C292" s="386"/>
      <c r="D292" s="387"/>
      <c r="E292" s="264"/>
      <c r="F292" s="375"/>
      <c r="G292" s="376"/>
      <c r="H292" s="264"/>
    </row>
    <row r="293" spans="1:8" ht="45" customHeight="1" x14ac:dyDescent="0.25">
      <c r="A293" s="136">
        <f t="shared" si="4"/>
        <v>281</v>
      </c>
      <c r="B293" s="265"/>
      <c r="C293" s="386"/>
      <c r="D293" s="387"/>
      <c r="E293" s="264"/>
      <c r="F293" s="375"/>
      <c r="G293" s="376"/>
      <c r="H293" s="264"/>
    </row>
    <row r="294" spans="1:8" ht="45" customHeight="1" x14ac:dyDescent="0.25">
      <c r="A294" s="136">
        <f t="shared" si="4"/>
        <v>282</v>
      </c>
      <c r="B294" s="265"/>
      <c r="C294" s="386"/>
      <c r="D294" s="387"/>
      <c r="E294" s="264"/>
      <c r="F294" s="375"/>
      <c r="G294" s="376"/>
      <c r="H294" s="264"/>
    </row>
    <row r="295" spans="1:8" ht="45" customHeight="1" x14ac:dyDescent="0.25">
      <c r="A295" s="136">
        <f t="shared" si="4"/>
        <v>283</v>
      </c>
      <c r="B295" s="265"/>
      <c r="C295" s="386"/>
      <c r="D295" s="387"/>
      <c r="E295" s="264"/>
      <c r="F295" s="375"/>
      <c r="G295" s="376"/>
      <c r="H295" s="264"/>
    </row>
    <row r="296" spans="1:8" ht="45" customHeight="1" x14ac:dyDescent="0.25">
      <c r="A296" s="136">
        <f t="shared" si="4"/>
        <v>284</v>
      </c>
      <c r="B296" s="265"/>
      <c r="C296" s="386"/>
      <c r="D296" s="387"/>
      <c r="E296" s="264"/>
      <c r="F296" s="375"/>
      <c r="G296" s="376"/>
      <c r="H296" s="264"/>
    </row>
    <row r="297" spans="1:8" ht="45" customHeight="1" x14ac:dyDescent="0.25">
      <c r="A297" s="136">
        <f t="shared" si="4"/>
        <v>285</v>
      </c>
      <c r="B297" s="265"/>
      <c r="C297" s="386"/>
      <c r="D297" s="387"/>
      <c r="E297" s="264"/>
      <c r="F297" s="375"/>
      <c r="G297" s="376"/>
      <c r="H297" s="264"/>
    </row>
    <row r="298" spans="1:8" ht="45" customHeight="1" x14ac:dyDescent="0.25">
      <c r="A298" s="136">
        <f t="shared" si="4"/>
        <v>286</v>
      </c>
      <c r="B298" s="265"/>
      <c r="C298" s="386"/>
      <c r="D298" s="387"/>
      <c r="E298" s="264"/>
      <c r="F298" s="375"/>
      <c r="G298" s="376"/>
      <c r="H298" s="264"/>
    </row>
    <row r="299" spans="1:8" ht="45" customHeight="1" x14ac:dyDescent="0.25">
      <c r="A299" s="136">
        <f t="shared" si="4"/>
        <v>287</v>
      </c>
      <c r="B299" s="265"/>
      <c r="C299" s="386"/>
      <c r="D299" s="387"/>
      <c r="E299" s="264"/>
      <c r="F299" s="375"/>
      <c r="G299" s="376"/>
      <c r="H299" s="264"/>
    </row>
    <row r="300" spans="1:8" ht="45" customHeight="1" x14ac:dyDescent="0.25">
      <c r="A300" s="136">
        <f t="shared" si="4"/>
        <v>288</v>
      </c>
      <c r="B300" s="265"/>
      <c r="C300" s="386"/>
      <c r="D300" s="387"/>
      <c r="E300" s="264"/>
      <c r="F300" s="375"/>
      <c r="G300" s="376"/>
      <c r="H300" s="264"/>
    </row>
    <row r="301" spans="1:8" ht="45" customHeight="1" x14ac:dyDescent="0.25">
      <c r="A301" s="136">
        <f t="shared" si="4"/>
        <v>289</v>
      </c>
      <c r="B301" s="265"/>
      <c r="C301" s="386"/>
      <c r="D301" s="387"/>
      <c r="E301" s="264"/>
      <c r="F301" s="375"/>
      <c r="G301" s="376"/>
      <c r="H301" s="264"/>
    </row>
    <row r="302" spans="1:8" ht="45" customHeight="1" x14ac:dyDescent="0.25">
      <c r="A302" s="136">
        <f t="shared" si="4"/>
        <v>290</v>
      </c>
      <c r="B302" s="265"/>
      <c r="C302" s="386"/>
      <c r="D302" s="387"/>
      <c r="E302" s="264"/>
      <c r="F302" s="375"/>
      <c r="G302" s="376"/>
      <c r="H302" s="264"/>
    </row>
    <row r="303" spans="1:8" ht="45" customHeight="1" x14ac:dyDescent="0.25">
      <c r="A303" s="136">
        <f t="shared" si="4"/>
        <v>291</v>
      </c>
      <c r="B303" s="265"/>
      <c r="C303" s="386"/>
      <c r="D303" s="387"/>
      <c r="E303" s="264"/>
      <c r="F303" s="375"/>
      <c r="G303" s="376"/>
      <c r="H303" s="264"/>
    </row>
    <row r="304" spans="1:8" ht="45" customHeight="1" x14ac:dyDescent="0.25">
      <c r="A304" s="136">
        <f t="shared" si="4"/>
        <v>292</v>
      </c>
      <c r="B304" s="265"/>
      <c r="C304" s="386"/>
      <c r="D304" s="387"/>
      <c r="E304" s="264"/>
      <c r="F304" s="375"/>
      <c r="G304" s="376"/>
      <c r="H304" s="264"/>
    </row>
    <row r="305" spans="1:8" ht="45" customHeight="1" x14ac:dyDescent="0.25">
      <c r="A305" s="136">
        <f t="shared" si="4"/>
        <v>293</v>
      </c>
      <c r="B305" s="265"/>
      <c r="C305" s="386"/>
      <c r="D305" s="387"/>
      <c r="E305" s="264"/>
      <c r="F305" s="375"/>
      <c r="G305" s="376"/>
      <c r="H305" s="264"/>
    </row>
    <row r="306" spans="1:8" ht="45" customHeight="1" x14ac:dyDescent="0.25">
      <c r="A306" s="136">
        <f t="shared" si="4"/>
        <v>294</v>
      </c>
      <c r="B306" s="265"/>
      <c r="C306" s="386"/>
      <c r="D306" s="387"/>
      <c r="E306" s="264"/>
      <c r="F306" s="375"/>
      <c r="G306" s="376"/>
      <c r="H306" s="264"/>
    </row>
    <row r="307" spans="1:8" ht="45" customHeight="1" x14ac:dyDescent="0.25">
      <c r="A307" s="136">
        <f t="shared" si="4"/>
        <v>295</v>
      </c>
      <c r="B307" s="265"/>
      <c r="C307" s="386"/>
      <c r="D307" s="387"/>
      <c r="E307" s="264"/>
      <c r="F307" s="375"/>
      <c r="G307" s="376"/>
      <c r="H307" s="264"/>
    </row>
    <row r="308" spans="1:8" ht="45" customHeight="1" x14ac:dyDescent="0.25">
      <c r="A308" s="136">
        <f t="shared" si="4"/>
        <v>296</v>
      </c>
      <c r="B308" s="265"/>
      <c r="C308" s="386"/>
      <c r="D308" s="387"/>
      <c r="E308" s="264"/>
      <c r="F308" s="375"/>
      <c r="G308" s="376"/>
      <c r="H308" s="264"/>
    </row>
    <row r="309" spans="1:8" ht="45" customHeight="1" x14ac:dyDescent="0.25">
      <c r="A309" s="136">
        <f t="shared" si="4"/>
        <v>297</v>
      </c>
      <c r="B309" s="265"/>
      <c r="C309" s="386"/>
      <c r="D309" s="387"/>
      <c r="E309" s="264"/>
      <c r="F309" s="375"/>
      <c r="G309" s="376"/>
      <c r="H309" s="264"/>
    </row>
    <row r="310" spans="1:8" ht="45" customHeight="1" x14ac:dyDescent="0.25">
      <c r="A310" s="136">
        <f t="shared" si="4"/>
        <v>298</v>
      </c>
      <c r="B310" s="265"/>
      <c r="C310" s="386"/>
      <c r="D310" s="387"/>
      <c r="E310" s="264"/>
      <c r="F310" s="375"/>
      <c r="G310" s="376"/>
      <c r="H310" s="264"/>
    </row>
    <row r="311" spans="1:8" ht="45" customHeight="1" x14ac:dyDescent="0.25">
      <c r="A311" s="136">
        <f t="shared" si="4"/>
        <v>299</v>
      </c>
      <c r="B311" s="265"/>
      <c r="C311" s="386"/>
      <c r="D311" s="387"/>
      <c r="E311" s="264"/>
      <c r="F311" s="375"/>
      <c r="G311" s="376"/>
      <c r="H311" s="264"/>
    </row>
    <row r="312" spans="1:8" ht="45" customHeight="1" x14ac:dyDescent="0.25">
      <c r="A312" s="136">
        <f t="shared" si="4"/>
        <v>300</v>
      </c>
      <c r="B312" s="265"/>
      <c r="C312" s="386"/>
      <c r="D312" s="387"/>
      <c r="E312" s="264"/>
      <c r="F312" s="375"/>
      <c r="G312" s="376"/>
      <c r="H312" s="264"/>
    </row>
    <row r="313" spans="1:8" ht="45" customHeight="1" x14ac:dyDescent="0.25">
      <c r="A313" s="136">
        <f t="shared" si="4"/>
        <v>301</v>
      </c>
      <c r="B313" s="265"/>
      <c r="C313" s="386"/>
      <c r="D313" s="387"/>
      <c r="E313" s="264"/>
      <c r="F313" s="375"/>
      <c r="G313" s="376"/>
      <c r="H313" s="264"/>
    </row>
    <row r="314" spans="1:8" ht="45" customHeight="1" x14ac:dyDescent="0.25">
      <c r="A314" s="136">
        <f t="shared" si="4"/>
        <v>302</v>
      </c>
      <c r="B314" s="265"/>
      <c r="C314" s="386"/>
      <c r="D314" s="387"/>
      <c r="E314" s="264"/>
      <c r="F314" s="375"/>
      <c r="G314" s="376"/>
      <c r="H314" s="264"/>
    </row>
    <row r="315" spans="1:8" ht="45" customHeight="1" x14ac:dyDescent="0.25">
      <c r="A315" s="136">
        <f t="shared" si="4"/>
        <v>303</v>
      </c>
      <c r="B315" s="265"/>
      <c r="C315" s="386"/>
      <c r="D315" s="387"/>
      <c r="E315" s="264"/>
      <c r="F315" s="375"/>
      <c r="G315" s="376"/>
      <c r="H315" s="264"/>
    </row>
    <row r="316" spans="1:8" ht="45" customHeight="1" x14ac:dyDescent="0.25">
      <c r="A316" s="136">
        <f t="shared" si="4"/>
        <v>304</v>
      </c>
      <c r="B316" s="265"/>
      <c r="C316" s="386"/>
      <c r="D316" s="387"/>
      <c r="E316" s="264"/>
      <c r="F316" s="375"/>
      <c r="G316" s="376"/>
      <c r="H316" s="264"/>
    </row>
    <row r="317" spans="1:8" ht="45" customHeight="1" x14ac:dyDescent="0.25">
      <c r="A317" s="136">
        <f t="shared" si="4"/>
        <v>305</v>
      </c>
      <c r="B317" s="265"/>
      <c r="C317" s="386"/>
      <c r="D317" s="387"/>
      <c r="E317" s="264"/>
      <c r="F317" s="375"/>
      <c r="G317" s="376"/>
      <c r="H317" s="264"/>
    </row>
    <row r="318" spans="1:8" ht="45" customHeight="1" x14ac:dyDescent="0.25">
      <c r="A318" s="136">
        <f t="shared" si="4"/>
        <v>306</v>
      </c>
      <c r="B318" s="265"/>
      <c r="C318" s="386"/>
      <c r="D318" s="387"/>
      <c r="E318" s="264"/>
      <c r="F318" s="375"/>
      <c r="G318" s="376"/>
      <c r="H318" s="264"/>
    </row>
    <row r="319" spans="1:8" ht="45" customHeight="1" x14ac:dyDescent="0.25">
      <c r="A319" s="136">
        <f t="shared" si="4"/>
        <v>307</v>
      </c>
      <c r="B319" s="265"/>
      <c r="C319" s="386"/>
      <c r="D319" s="387"/>
      <c r="E319" s="264"/>
      <c r="F319" s="375"/>
      <c r="G319" s="376"/>
      <c r="H319" s="264"/>
    </row>
    <row r="320" spans="1:8" ht="45" customHeight="1" x14ac:dyDescent="0.25">
      <c r="A320" s="136">
        <f t="shared" si="4"/>
        <v>308</v>
      </c>
      <c r="B320" s="265"/>
      <c r="C320" s="386"/>
      <c r="D320" s="387"/>
      <c r="E320" s="264"/>
      <c r="F320" s="375"/>
      <c r="G320" s="376"/>
      <c r="H320" s="264"/>
    </row>
    <row r="321" spans="1:8" ht="45" customHeight="1" x14ac:dyDescent="0.25">
      <c r="A321" s="136">
        <f t="shared" si="4"/>
        <v>309</v>
      </c>
      <c r="B321" s="265"/>
      <c r="C321" s="386"/>
      <c r="D321" s="387"/>
      <c r="E321" s="264"/>
      <c r="F321" s="375"/>
      <c r="G321" s="376"/>
      <c r="H321" s="264"/>
    </row>
    <row r="322" spans="1:8" ht="45" customHeight="1" x14ac:dyDescent="0.25">
      <c r="A322" s="136">
        <f t="shared" si="4"/>
        <v>310</v>
      </c>
      <c r="B322" s="265"/>
      <c r="C322" s="386"/>
      <c r="D322" s="387"/>
      <c r="E322" s="264"/>
      <c r="F322" s="375"/>
      <c r="G322" s="376"/>
      <c r="H322" s="264"/>
    </row>
    <row r="323" spans="1:8" ht="45" customHeight="1" x14ac:dyDescent="0.25">
      <c r="A323" s="136">
        <f t="shared" si="4"/>
        <v>311</v>
      </c>
      <c r="B323" s="265"/>
      <c r="C323" s="386"/>
      <c r="D323" s="387"/>
      <c r="E323" s="264"/>
      <c r="F323" s="375"/>
      <c r="G323" s="376"/>
      <c r="H323" s="264"/>
    </row>
    <row r="324" spans="1:8" ht="45" customHeight="1" x14ac:dyDescent="0.25">
      <c r="A324" s="136">
        <f t="shared" si="4"/>
        <v>312</v>
      </c>
      <c r="B324" s="265"/>
      <c r="C324" s="386"/>
      <c r="D324" s="387"/>
      <c r="E324" s="264"/>
      <c r="F324" s="375"/>
      <c r="G324" s="376"/>
      <c r="H324" s="264"/>
    </row>
    <row r="325" spans="1:8" ht="45" customHeight="1" x14ac:dyDescent="0.25">
      <c r="A325" s="136">
        <f t="shared" si="4"/>
        <v>313</v>
      </c>
      <c r="B325" s="265"/>
      <c r="C325" s="386"/>
      <c r="D325" s="387"/>
      <c r="E325" s="264"/>
      <c r="F325" s="375"/>
      <c r="G325" s="376"/>
      <c r="H325" s="264"/>
    </row>
    <row r="326" spans="1:8" ht="45" customHeight="1" x14ac:dyDescent="0.25">
      <c r="A326" s="136">
        <f t="shared" si="4"/>
        <v>314</v>
      </c>
      <c r="B326" s="265"/>
      <c r="C326" s="386"/>
      <c r="D326" s="387"/>
      <c r="E326" s="264"/>
      <c r="F326" s="375"/>
      <c r="G326" s="376"/>
      <c r="H326" s="264"/>
    </row>
    <row r="327" spans="1:8" ht="45" customHeight="1" x14ac:dyDescent="0.25">
      <c r="A327" s="136">
        <f t="shared" si="4"/>
        <v>315</v>
      </c>
      <c r="B327" s="265"/>
      <c r="C327" s="386"/>
      <c r="D327" s="387"/>
      <c r="E327" s="264"/>
      <c r="F327" s="375"/>
      <c r="G327" s="376"/>
      <c r="H327" s="264"/>
    </row>
    <row r="328" spans="1:8" ht="45" customHeight="1" x14ac:dyDescent="0.25">
      <c r="A328" s="136">
        <f t="shared" si="4"/>
        <v>316</v>
      </c>
      <c r="B328" s="265"/>
      <c r="C328" s="386"/>
      <c r="D328" s="387"/>
      <c r="E328" s="264"/>
      <c r="F328" s="375"/>
      <c r="G328" s="376"/>
      <c r="H328" s="264"/>
    </row>
    <row r="329" spans="1:8" ht="45" customHeight="1" x14ac:dyDescent="0.25">
      <c r="A329" s="136">
        <f t="shared" si="4"/>
        <v>317</v>
      </c>
      <c r="B329" s="265"/>
      <c r="C329" s="386"/>
      <c r="D329" s="387"/>
      <c r="E329" s="264"/>
      <c r="F329" s="375"/>
      <c r="G329" s="376"/>
      <c r="H329" s="264"/>
    </row>
    <row r="330" spans="1:8" ht="45" customHeight="1" x14ac:dyDescent="0.25">
      <c r="A330" s="136">
        <f t="shared" si="4"/>
        <v>318</v>
      </c>
      <c r="B330" s="265"/>
      <c r="C330" s="386"/>
      <c r="D330" s="387"/>
      <c r="E330" s="264"/>
      <c r="F330" s="375"/>
      <c r="G330" s="376"/>
      <c r="H330" s="264"/>
    </row>
    <row r="331" spans="1:8" ht="45" customHeight="1" x14ac:dyDescent="0.25">
      <c r="A331" s="136">
        <f t="shared" si="4"/>
        <v>319</v>
      </c>
      <c r="B331" s="265"/>
      <c r="C331" s="386"/>
      <c r="D331" s="387"/>
      <c r="E331" s="264"/>
      <c r="F331" s="375"/>
      <c r="G331" s="376"/>
      <c r="H331" s="264"/>
    </row>
    <row r="332" spans="1:8" ht="45" customHeight="1" x14ac:dyDescent="0.25">
      <c r="A332" s="136">
        <f t="shared" si="4"/>
        <v>320</v>
      </c>
      <c r="B332" s="265"/>
      <c r="C332" s="386"/>
      <c r="D332" s="387"/>
      <c r="E332" s="264"/>
      <c r="F332" s="375"/>
      <c r="G332" s="376"/>
      <c r="H332" s="264"/>
    </row>
    <row r="333" spans="1:8" ht="45" customHeight="1" x14ac:dyDescent="0.25">
      <c r="A333" s="136">
        <f t="shared" si="4"/>
        <v>321</v>
      </c>
      <c r="B333" s="265"/>
      <c r="C333" s="386"/>
      <c r="D333" s="387"/>
      <c r="E333" s="264"/>
      <c r="F333" s="375"/>
      <c r="G333" s="376"/>
      <c r="H333" s="264"/>
    </row>
    <row r="334" spans="1:8" ht="45" customHeight="1" x14ac:dyDescent="0.25">
      <c r="A334" s="136">
        <f t="shared" ref="A334:A397" si="5">ROW(A322)</f>
        <v>322</v>
      </c>
      <c r="B334" s="265"/>
      <c r="C334" s="386"/>
      <c r="D334" s="387"/>
      <c r="E334" s="264"/>
      <c r="F334" s="375"/>
      <c r="G334" s="376"/>
      <c r="H334" s="264"/>
    </row>
    <row r="335" spans="1:8" ht="45" customHeight="1" x14ac:dyDescent="0.25">
      <c r="A335" s="136">
        <f t="shared" si="5"/>
        <v>323</v>
      </c>
      <c r="B335" s="265"/>
      <c r="C335" s="386"/>
      <c r="D335" s="387"/>
      <c r="E335" s="264"/>
      <c r="F335" s="375"/>
      <c r="G335" s="376"/>
      <c r="H335" s="264"/>
    </row>
    <row r="336" spans="1:8" ht="45" customHeight="1" x14ac:dyDescent="0.25">
      <c r="A336" s="136">
        <f t="shared" si="5"/>
        <v>324</v>
      </c>
      <c r="B336" s="265"/>
      <c r="C336" s="386"/>
      <c r="D336" s="387"/>
      <c r="E336" s="264"/>
      <c r="F336" s="375"/>
      <c r="G336" s="376"/>
      <c r="H336" s="264"/>
    </row>
    <row r="337" spans="1:8" ht="45" customHeight="1" x14ac:dyDescent="0.25">
      <c r="A337" s="136">
        <f t="shared" si="5"/>
        <v>325</v>
      </c>
      <c r="B337" s="265"/>
      <c r="C337" s="386"/>
      <c r="D337" s="387"/>
      <c r="E337" s="264"/>
      <c r="F337" s="375"/>
      <c r="G337" s="376"/>
      <c r="H337" s="264"/>
    </row>
    <row r="338" spans="1:8" ht="45" customHeight="1" x14ac:dyDescent="0.25">
      <c r="A338" s="136">
        <f t="shared" si="5"/>
        <v>326</v>
      </c>
      <c r="B338" s="265"/>
      <c r="C338" s="386"/>
      <c r="D338" s="387"/>
      <c r="E338" s="264"/>
      <c r="F338" s="375"/>
      <c r="G338" s="376"/>
      <c r="H338" s="264"/>
    </row>
    <row r="339" spans="1:8" ht="45" customHeight="1" x14ac:dyDescent="0.25">
      <c r="A339" s="136">
        <f t="shared" si="5"/>
        <v>327</v>
      </c>
      <c r="B339" s="265"/>
      <c r="C339" s="386"/>
      <c r="D339" s="387"/>
      <c r="E339" s="264"/>
      <c r="F339" s="375"/>
      <c r="G339" s="376"/>
      <c r="H339" s="264"/>
    </row>
    <row r="340" spans="1:8" ht="45" customHeight="1" x14ac:dyDescent="0.25">
      <c r="A340" s="136">
        <f t="shared" si="5"/>
        <v>328</v>
      </c>
      <c r="B340" s="265"/>
      <c r="C340" s="386"/>
      <c r="D340" s="387"/>
      <c r="E340" s="264"/>
      <c r="F340" s="375"/>
      <c r="G340" s="376"/>
      <c r="H340" s="264"/>
    </row>
    <row r="341" spans="1:8" ht="45" customHeight="1" x14ac:dyDescent="0.25">
      <c r="A341" s="136">
        <f t="shared" si="5"/>
        <v>329</v>
      </c>
      <c r="B341" s="265"/>
      <c r="C341" s="386"/>
      <c r="D341" s="387"/>
      <c r="E341" s="264"/>
      <c r="F341" s="375"/>
      <c r="G341" s="376"/>
      <c r="H341" s="264"/>
    </row>
    <row r="342" spans="1:8" ht="45" customHeight="1" x14ac:dyDescent="0.25">
      <c r="A342" s="136">
        <f t="shared" si="5"/>
        <v>330</v>
      </c>
      <c r="B342" s="265"/>
      <c r="C342" s="386"/>
      <c r="D342" s="387"/>
      <c r="E342" s="264"/>
      <c r="F342" s="375"/>
      <c r="G342" s="376"/>
      <c r="H342" s="264"/>
    </row>
    <row r="343" spans="1:8" ht="45" customHeight="1" x14ac:dyDescent="0.25">
      <c r="A343" s="136">
        <f t="shared" si="5"/>
        <v>331</v>
      </c>
      <c r="B343" s="265"/>
      <c r="C343" s="386"/>
      <c r="D343" s="387"/>
      <c r="E343" s="264"/>
      <c r="F343" s="375"/>
      <c r="G343" s="376"/>
      <c r="H343" s="264"/>
    </row>
    <row r="344" spans="1:8" ht="45" customHeight="1" x14ac:dyDescent="0.25">
      <c r="A344" s="136">
        <f t="shared" si="5"/>
        <v>332</v>
      </c>
      <c r="B344" s="265"/>
      <c r="C344" s="386"/>
      <c r="D344" s="387"/>
      <c r="E344" s="264"/>
      <c r="F344" s="375"/>
      <c r="G344" s="376"/>
      <c r="H344" s="264"/>
    </row>
    <row r="345" spans="1:8" ht="45" customHeight="1" x14ac:dyDescent="0.25">
      <c r="A345" s="136">
        <f t="shared" si="5"/>
        <v>333</v>
      </c>
      <c r="B345" s="265"/>
      <c r="C345" s="386"/>
      <c r="D345" s="387"/>
      <c r="E345" s="264"/>
      <c r="F345" s="375"/>
      <c r="G345" s="376"/>
      <c r="H345" s="264"/>
    </row>
    <row r="346" spans="1:8" ht="45" customHeight="1" x14ac:dyDescent="0.25">
      <c r="A346" s="136">
        <f t="shared" si="5"/>
        <v>334</v>
      </c>
      <c r="B346" s="265"/>
      <c r="C346" s="386"/>
      <c r="D346" s="387"/>
      <c r="E346" s="264"/>
      <c r="F346" s="375"/>
      <c r="G346" s="376"/>
      <c r="H346" s="264"/>
    </row>
    <row r="347" spans="1:8" ht="45" customHeight="1" x14ac:dyDescent="0.25">
      <c r="A347" s="136">
        <f t="shared" si="5"/>
        <v>335</v>
      </c>
      <c r="B347" s="265"/>
      <c r="C347" s="386"/>
      <c r="D347" s="387"/>
      <c r="E347" s="264"/>
      <c r="F347" s="375"/>
      <c r="G347" s="376"/>
      <c r="H347" s="264"/>
    </row>
    <row r="348" spans="1:8" ht="45" customHeight="1" x14ac:dyDescent="0.25">
      <c r="A348" s="136">
        <f t="shared" si="5"/>
        <v>336</v>
      </c>
      <c r="B348" s="265"/>
      <c r="C348" s="386"/>
      <c r="D348" s="387"/>
      <c r="E348" s="264"/>
      <c r="F348" s="375"/>
      <c r="G348" s="376"/>
      <c r="H348" s="264"/>
    </row>
    <row r="349" spans="1:8" ht="45" customHeight="1" x14ac:dyDescent="0.25">
      <c r="A349" s="136">
        <f t="shared" si="5"/>
        <v>337</v>
      </c>
      <c r="B349" s="265"/>
      <c r="C349" s="386"/>
      <c r="D349" s="387"/>
      <c r="E349" s="264"/>
      <c r="F349" s="375"/>
      <c r="G349" s="376"/>
      <c r="H349" s="264"/>
    </row>
    <row r="350" spans="1:8" ht="45" customHeight="1" x14ac:dyDescent="0.25">
      <c r="A350" s="136">
        <f t="shared" si="5"/>
        <v>338</v>
      </c>
      <c r="B350" s="265"/>
      <c r="C350" s="386"/>
      <c r="D350" s="387"/>
      <c r="E350" s="264"/>
      <c r="F350" s="375"/>
      <c r="G350" s="376"/>
      <c r="H350" s="264"/>
    </row>
    <row r="351" spans="1:8" ht="45" customHeight="1" x14ac:dyDescent="0.25">
      <c r="A351" s="136">
        <f t="shared" si="5"/>
        <v>339</v>
      </c>
      <c r="B351" s="265"/>
      <c r="C351" s="386"/>
      <c r="D351" s="387"/>
      <c r="E351" s="264"/>
      <c r="F351" s="375"/>
      <c r="G351" s="376"/>
      <c r="H351" s="264"/>
    </row>
    <row r="352" spans="1:8" ht="45" customHeight="1" x14ac:dyDescent="0.25">
      <c r="A352" s="136">
        <f t="shared" si="5"/>
        <v>340</v>
      </c>
      <c r="B352" s="265"/>
      <c r="C352" s="386"/>
      <c r="D352" s="387"/>
      <c r="E352" s="264"/>
      <c r="F352" s="375"/>
      <c r="G352" s="376"/>
      <c r="H352" s="264"/>
    </row>
    <row r="353" spans="1:8" ht="45" customHeight="1" x14ac:dyDescent="0.25">
      <c r="A353" s="136">
        <f t="shared" si="5"/>
        <v>341</v>
      </c>
      <c r="B353" s="265"/>
      <c r="C353" s="386"/>
      <c r="D353" s="387"/>
      <c r="E353" s="264"/>
      <c r="F353" s="375"/>
      <c r="G353" s="376"/>
      <c r="H353" s="264"/>
    </row>
    <row r="354" spans="1:8" ht="45" customHeight="1" x14ac:dyDescent="0.25">
      <c r="A354" s="136">
        <f t="shared" si="5"/>
        <v>342</v>
      </c>
      <c r="B354" s="265"/>
      <c r="C354" s="386"/>
      <c r="D354" s="387"/>
      <c r="E354" s="264"/>
      <c r="F354" s="375"/>
      <c r="G354" s="376"/>
      <c r="H354" s="264"/>
    </row>
    <row r="355" spans="1:8" ht="45" customHeight="1" x14ac:dyDescent="0.25">
      <c r="A355" s="136">
        <f t="shared" si="5"/>
        <v>343</v>
      </c>
      <c r="B355" s="265"/>
      <c r="C355" s="386"/>
      <c r="D355" s="387"/>
      <c r="E355" s="264"/>
      <c r="F355" s="375"/>
      <c r="G355" s="376"/>
      <c r="H355" s="264"/>
    </row>
    <row r="356" spans="1:8" ht="45" customHeight="1" x14ac:dyDescent="0.25">
      <c r="A356" s="136">
        <f t="shared" si="5"/>
        <v>344</v>
      </c>
      <c r="B356" s="265"/>
      <c r="C356" s="386"/>
      <c r="D356" s="387"/>
      <c r="E356" s="264"/>
      <c r="F356" s="375"/>
      <c r="G356" s="376"/>
      <c r="H356" s="264"/>
    </row>
    <row r="357" spans="1:8" ht="45" customHeight="1" x14ac:dyDescent="0.25">
      <c r="A357" s="136">
        <f t="shared" si="5"/>
        <v>345</v>
      </c>
      <c r="B357" s="265"/>
      <c r="C357" s="386"/>
      <c r="D357" s="387"/>
      <c r="E357" s="264"/>
      <c r="F357" s="375"/>
      <c r="G357" s="376"/>
      <c r="H357" s="264"/>
    </row>
    <row r="358" spans="1:8" ht="45" customHeight="1" x14ac:dyDescent="0.25">
      <c r="A358" s="136">
        <f t="shared" si="5"/>
        <v>346</v>
      </c>
      <c r="B358" s="265"/>
      <c r="C358" s="386"/>
      <c r="D358" s="387"/>
      <c r="E358" s="264"/>
      <c r="F358" s="375"/>
      <c r="G358" s="376"/>
      <c r="H358" s="264"/>
    </row>
    <row r="359" spans="1:8" ht="45" customHeight="1" x14ac:dyDescent="0.25">
      <c r="A359" s="136">
        <f t="shared" si="5"/>
        <v>347</v>
      </c>
      <c r="B359" s="265"/>
      <c r="C359" s="386"/>
      <c r="D359" s="387"/>
      <c r="E359" s="264"/>
      <c r="F359" s="375"/>
      <c r="G359" s="376"/>
      <c r="H359" s="264"/>
    </row>
    <row r="360" spans="1:8" ht="45" customHeight="1" x14ac:dyDescent="0.25">
      <c r="A360" s="136">
        <f t="shared" si="5"/>
        <v>348</v>
      </c>
      <c r="B360" s="265"/>
      <c r="C360" s="386"/>
      <c r="D360" s="387"/>
      <c r="E360" s="264"/>
      <c r="F360" s="375"/>
      <c r="G360" s="376"/>
      <c r="H360" s="264"/>
    </row>
    <row r="361" spans="1:8" ht="45" customHeight="1" x14ac:dyDescent="0.25">
      <c r="A361" s="136">
        <f t="shared" si="5"/>
        <v>349</v>
      </c>
      <c r="B361" s="265"/>
      <c r="C361" s="386"/>
      <c r="D361" s="387"/>
      <c r="E361" s="264"/>
      <c r="F361" s="375"/>
      <c r="G361" s="376"/>
      <c r="H361" s="264"/>
    </row>
    <row r="362" spans="1:8" ht="45" customHeight="1" x14ac:dyDescent="0.25">
      <c r="A362" s="136">
        <f t="shared" si="5"/>
        <v>350</v>
      </c>
      <c r="B362" s="265"/>
      <c r="C362" s="386"/>
      <c r="D362" s="387"/>
      <c r="E362" s="264"/>
      <c r="F362" s="375"/>
      <c r="G362" s="376"/>
      <c r="H362" s="264"/>
    </row>
    <row r="363" spans="1:8" ht="45" customHeight="1" x14ac:dyDescent="0.25">
      <c r="A363" s="136">
        <f t="shared" si="5"/>
        <v>351</v>
      </c>
      <c r="B363" s="265"/>
      <c r="C363" s="386"/>
      <c r="D363" s="387"/>
      <c r="E363" s="264"/>
      <c r="F363" s="375"/>
      <c r="G363" s="376"/>
      <c r="H363" s="264"/>
    </row>
    <row r="364" spans="1:8" ht="45" customHeight="1" x14ac:dyDescent="0.25">
      <c r="A364" s="136">
        <f t="shared" si="5"/>
        <v>352</v>
      </c>
      <c r="B364" s="265"/>
      <c r="C364" s="386"/>
      <c r="D364" s="387"/>
      <c r="E364" s="264"/>
      <c r="F364" s="375"/>
      <c r="G364" s="376"/>
      <c r="H364" s="264"/>
    </row>
    <row r="365" spans="1:8" ht="45" customHeight="1" x14ac:dyDescent="0.25">
      <c r="A365" s="136">
        <f t="shared" si="5"/>
        <v>353</v>
      </c>
      <c r="B365" s="265"/>
      <c r="C365" s="386"/>
      <c r="D365" s="387"/>
      <c r="E365" s="264"/>
      <c r="F365" s="375"/>
      <c r="G365" s="376"/>
      <c r="H365" s="264"/>
    </row>
    <row r="366" spans="1:8" ht="45" customHeight="1" x14ac:dyDescent="0.25">
      <c r="A366" s="136">
        <f t="shared" si="5"/>
        <v>354</v>
      </c>
      <c r="B366" s="265"/>
      <c r="C366" s="386"/>
      <c r="D366" s="387"/>
      <c r="E366" s="264"/>
      <c r="F366" s="375"/>
      <c r="G366" s="376"/>
      <c r="H366" s="264"/>
    </row>
    <row r="367" spans="1:8" ht="45" customHeight="1" x14ac:dyDescent="0.25">
      <c r="A367" s="136">
        <f t="shared" si="5"/>
        <v>355</v>
      </c>
      <c r="B367" s="265"/>
      <c r="C367" s="386"/>
      <c r="D367" s="387"/>
      <c r="E367" s="264"/>
      <c r="F367" s="375"/>
      <c r="G367" s="376"/>
      <c r="H367" s="264"/>
    </row>
    <row r="368" spans="1:8" ht="45" customHeight="1" x14ac:dyDescent="0.25">
      <c r="A368" s="136">
        <f t="shared" si="5"/>
        <v>356</v>
      </c>
      <c r="B368" s="265"/>
      <c r="C368" s="386"/>
      <c r="D368" s="387"/>
      <c r="E368" s="264"/>
      <c r="F368" s="375"/>
      <c r="G368" s="376"/>
      <c r="H368" s="264"/>
    </row>
    <row r="369" spans="1:8" ht="45" customHeight="1" x14ac:dyDescent="0.25">
      <c r="A369" s="136">
        <f t="shared" si="5"/>
        <v>357</v>
      </c>
      <c r="B369" s="265"/>
      <c r="C369" s="386"/>
      <c r="D369" s="387"/>
      <c r="E369" s="264"/>
      <c r="F369" s="375"/>
      <c r="G369" s="376"/>
      <c r="H369" s="264"/>
    </row>
    <row r="370" spans="1:8" ht="45" customHeight="1" x14ac:dyDescent="0.25">
      <c r="A370" s="136">
        <f t="shared" si="5"/>
        <v>358</v>
      </c>
      <c r="B370" s="265"/>
      <c r="C370" s="386"/>
      <c r="D370" s="387"/>
      <c r="E370" s="264"/>
      <c r="F370" s="375"/>
      <c r="G370" s="376"/>
      <c r="H370" s="264"/>
    </row>
    <row r="371" spans="1:8" ht="45" customHeight="1" x14ac:dyDescent="0.25">
      <c r="A371" s="136">
        <f t="shared" si="5"/>
        <v>359</v>
      </c>
      <c r="B371" s="265"/>
      <c r="C371" s="386"/>
      <c r="D371" s="387"/>
      <c r="E371" s="264"/>
      <c r="F371" s="375"/>
      <c r="G371" s="376"/>
      <c r="H371" s="264"/>
    </row>
    <row r="372" spans="1:8" ht="45" customHeight="1" x14ac:dyDescent="0.25">
      <c r="A372" s="136">
        <f t="shared" si="5"/>
        <v>360</v>
      </c>
      <c r="B372" s="265"/>
      <c r="C372" s="386"/>
      <c r="D372" s="387"/>
      <c r="E372" s="264"/>
      <c r="F372" s="375"/>
      <c r="G372" s="376"/>
      <c r="H372" s="264"/>
    </row>
    <row r="373" spans="1:8" ht="45" customHeight="1" x14ac:dyDescent="0.25">
      <c r="A373" s="136">
        <f t="shared" si="5"/>
        <v>361</v>
      </c>
      <c r="B373" s="265"/>
      <c r="C373" s="386"/>
      <c r="D373" s="387"/>
      <c r="E373" s="264"/>
      <c r="F373" s="375"/>
      <c r="G373" s="376"/>
      <c r="H373" s="264"/>
    </row>
    <row r="374" spans="1:8" ht="45" customHeight="1" x14ac:dyDescent="0.25">
      <c r="A374" s="136">
        <f t="shared" si="5"/>
        <v>362</v>
      </c>
      <c r="B374" s="265"/>
      <c r="C374" s="386"/>
      <c r="D374" s="387"/>
      <c r="E374" s="264"/>
      <c r="F374" s="375"/>
      <c r="G374" s="376"/>
      <c r="H374" s="264"/>
    </row>
    <row r="375" spans="1:8" ht="45" customHeight="1" x14ac:dyDescent="0.25">
      <c r="A375" s="136">
        <f t="shared" si="5"/>
        <v>363</v>
      </c>
      <c r="B375" s="265"/>
      <c r="C375" s="386"/>
      <c r="D375" s="387"/>
      <c r="E375" s="264"/>
      <c r="F375" s="375"/>
      <c r="G375" s="376"/>
      <c r="H375" s="264"/>
    </row>
    <row r="376" spans="1:8" ht="45" customHeight="1" x14ac:dyDescent="0.25">
      <c r="A376" s="136">
        <f t="shared" si="5"/>
        <v>364</v>
      </c>
      <c r="B376" s="265"/>
      <c r="C376" s="386"/>
      <c r="D376" s="387"/>
      <c r="E376" s="264"/>
      <c r="F376" s="375"/>
      <c r="G376" s="376"/>
      <c r="H376" s="264"/>
    </row>
    <row r="377" spans="1:8" ht="45" customHeight="1" x14ac:dyDescent="0.25">
      <c r="A377" s="136">
        <f t="shared" si="5"/>
        <v>365</v>
      </c>
      <c r="B377" s="265"/>
      <c r="C377" s="386"/>
      <c r="D377" s="387"/>
      <c r="E377" s="264"/>
      <c r="F377" s="375"/>
      <c r="G377" s="376"/>
      <c r="H377" s="264"/>
    </row>
    <row r="378" spans="1:8" ht="45" customHeight="1" x14ac:dyDescent="0.25">
      <c r="A378" s="136">
        <f t="shared" si="5"/>
        <v>366</v>
      </c>
      <c r="B378" s="265"/>
      <c r="C378" s="386"/>
      <c r="D378" s="387"/>
      <c r="E378" s="264"/>
      <c r="F378" s="375"/>
      <c r="G378" s="376"/>
      <c r="H378" s="264"/>
    </row>
    <row r="379" spans="1:8" ht="45" customHeight="1" x14ac:dyDescent="0.25">
      <c r="A379" s="136">
        <f t="shared" si="5"/>
        <v>367</v>
      </c>
      <c r="B379" s="265"/>
      <c r="C379" s="386"/>
      <c r="D379" s="387"/>
      <c r="E379" s="264"/>
      <c r="F379" s="375"/>
      <c r="G379" s="376"/>
      <c r="H379" s="264"/>
    </row>
    <row r="380" spans="1:8" ht="45" customHeight="1" x14ac:dyDescent="0.25">
      <c r="A380" s="136">
        <f t="shared" si="5"/>
        <v>368</v>
      </c>
      <c r="B380" s="265"/>
      <c r="C380" s="386"/>
      <c r="D380" s="387"/>
      <c r="E380" s="264"/>
      <c r="F380" s="375"/>
      <c r="G380" s="376"/>
      <c r="H380" s="264"/>
    </row>
    <row r="381" spans="1:8" ht="45" customHeight="1" x14ac:dyDescent="0.25">
      <c r="A381" s="136">
        <f t="shared" si="5"/>
        <v>369</v>
      </c>
      <c r="B381" s="265"/>
      <c r="C381" s="386"/>
      <c r="D381" s="387"/>
      <c r="E381" s="264"/>
      <c r="F381" s="375"/>
      <c r="G381" s="376"/>
      <c r="H381" s="264"/>
    </row>
    <row r="382" spans="1:8" ht="45" customHeight="1" x14ac:dyDescent="0.25">
      <c r="A382" s="136">
        <f t="shared" si="5"/>
        <v>370</v>
      </c>
      <c r="B382" s="265"/>
      <c r="C382" s="386"/>
      <c r="D382" s="387"/>
      <c r="E382" s="264"/>
      <c r="F382" s="375"/>
      <c r="G382" s="376"/>
      <c r="H382" s="264"/>
    </row>
    <row r="383" spans="1:8" ht="45" customHeight="1" x14ac:dyDescent="0.25">
      <c r="A383" s="136">
        <f t="shared" si="5"/>
        <v>371</v>
      </c>
      <c r="B383" s="265"/>
      <c r="C383" s="386"/>
      <c r="D383" s="387"/>
      <c r="E383" s="264"/>
      <c r="F383" s="375"/>
      <c r="G383" s="376"/>
      <c r="H383" s="264"/>
    </row>
    <row r="384" spans="1:8" ht="45" customHeight="1" x14ac:dyDescent="0.25">
      <c r="A384" s="136">
        <f t="shared" si="5"/>
        <v>372</v>
      </c>
      <c r="B384" s="265"/>
      <c r="C384" s="386"/>
      <c r="D384" s="387"/>
      <c r="E384" s="264"/>
      <c r="F384" s="375"/>
      <c r="G384" s="376"/>
      <c r="H384" s="264"/>
    </row>
    <row r="385" spans="1:8" ht="45" customHeight="1" x14ac:dyDescent="0.25">
      <c r="A385" s="136">
        <f t="shared" si="5"/>
        <v>373</v>
      </c>
      <c r="B385" s="265"/>
      <c r="C385" s="386"/>
      <c r="D385" s="387"/>
      <c r="E385" s="264"/>
      <c r="F385" s="375"/>
      <c r="G385" s="376"/>
      <c r="H385" s="264"/>
    </row>
    <row r="386" spans="1:8" ht="45" customHeight="1" x14ac:dyDescent="0.25">
      <c r="A386" s="136">
        <f t="shared" si="5"/>
        <v>374</v>
      </c>
      <c r="B386" s="265"/>
      <c r="C386" s="386"/>
      <c r="D386" s="387"/>
      <c r="E386" s="264"/>
      <c r="F386" s="375"/>
      <c r="G386" s="376"/>
      <c r="H386" s="264"/>
    </row>
    <row r="387" spans="1:8" ht="45" customHeight="1" x14ac:dyDescent="0.25">
      <c r="A387" s="136">
        <f t="shared" si="5"/>
        <v>375</v>
      </c>
      <c r="B387" s="265"/>
      <c r="C387" s="386"/>
      <c r="D387" s="387"/>
      <c r="E387" s="264"/>
      <c r="F387" s="375"/>
      <c r="G387" s="376"/>
      <c r="H387" s="264"/>
    </row>
    <row r="388" spans="1:8" ht="45" customHeight="1" x14ac:dyDescent="0.25">
      <c r="A388" s="136">
        <f t="shared" si="5"/>
        <v>376</v>
      </c>
      <c r="B388" s="265"/>
      <c r="C388" s="386"/>
      <c r="D388" s="387"/>
      <c r="E388" s="264"/>
      <c r="F388" s="375"/>
      <c r="G388" s="376"/>
      <c r="H388" s="264"/>
    </row>
    <row r="389" spans="1:8" ht="45" customHeight="1" x14ac:dyDescent="0.25">
      <c r="A389" s="136">
        <f t="shared" si="5"/>
        <v>377</v>
      </c>
      <c r="B389" s="265"/>
      <c r="C389" s="386"/>
      <c r="D389" s="387"/>
      <c r="E389" s="264"/>
      <c r="F389" s="375"/>
      <c r="G389" s="376"/>
      <c r="H389" s="264"/>
    </row>
    <row r="390" spans="1:8" ht="45" customHeight="1" x14ac:dyDescent="0.25">
      <c r="A390" s="136">
        <f t="shared" si="5"/>
        <v>378</v>
      </c>
      <c r="B390" s="265"/>
      <c r="C390" s="386"/>
      <c r="D390" s="387"/>
      <c r="E390" s="264"/>
      <c r="F390" s="375"/>
      <c r="G390" s="376"/>
      <c r="H390" s="264"/>
    </row>
    <row r="391" spans="1:8" ht="45" customHeight="1" x14ac:dyDescent="0.25">
      <c r="A391" s="136">
        <f t="shared" si="5"/>
        <v>379</v>
      </c>
      <c r="B391" s="265"/>
      <c r="C391" s="386"/>
      <c r="D391" s="387"/>
      <c r="E391" s="264"/>
      <c r="F391" s="375"/>
      <c r="G391" s="376"/>
      <c r="H391" s="264"/>
    </row>
    <row r="392" spans="1:8" ht="45" customHeight="1" x14ac:dyDescent="0.25">
      <c r="A392" s="136">
        <f t="shared" si="5"/>
        <v>380</v>
      </c>
      <c r="B392" s="265"/>
      <c r="C392" s="386"/>
      <c r="D392" s="387"/>
      <c r="E392" s="264"/>
      <c r="F392" s="375"/>
      <c r="G392" s="376"/>
      <c r="H392" s="264"/>
    </row>
    <row r="393" spans="1:8" ht="45" customHeight="1" x14ac:dyDescent="0.25">
      <c r="A393" s="136">
        <f t="shared" si="5"/>
        <v>381</v>
      </c>
      <c r="B393" s="265"/>
      <c r="C393" s="386"/>
      <c r="D393" s="387"/>
      <c r="E393" s="264"/>
      <c r="F393" s="375"/>
      <c r="G393" s="376"/>
      <c r="H393" s="264"/>
    </row>
    <row r="394" spans="1:8" ht="45" customHeight="1" x14ac:dyDescent="0.25">
      <c r="A394" s="136">
        <f t="shared" si="5"/>
        <v>382</v>
      </c>
      <c r="B394" s="265"/>
      <c r="C394" s="386"/>
      <c r="D394" s="387"/>
      <c r="E394" s="264"/>
      <c r="F394" s="375"/>
      <c r="G394" s="376"/>
      <c r="H394" s="264"/>
    </row>
    <row r="395" spans="1:8" ht="45" customHeight="1" x14ac:dyDescent="0.25">
      <c r="A395" s="136">
        <f t="shared" si="5"/>
        <v>383</v>
      </c>
      <c r="B395" s="265"/>
      <c r="C395" s="386"/>
      <c r="D395" s="387"/>
      <c r="E395" s="264"/>
      <c r="F395" s="375"/>
      <c r="G395" s="376"/>
      <c r="H395" s="264"/>
    </row>
    <row r="396" spans="1:8" ht="45" customHeight="1" x14ac:dyDescent="0.25">
      <c r="A396" s="136">
        <f t="shared" si="5"/>
        <v>384</v>
      </c>
      <c r="B396" s="265"/>
      <c r="C396" s="386"/>
      <c r="D396" s="387"/>
      <c r="E396" s="264"/>
      <c r="F396" s="375"/>
      <c r="G396" s="376"/>
      <c r="H396" s="264"/>
    </row>
    <row r="397" spans="1:8" ht="45" customHeight="1" x14ac:dyDescent="0.25">
      <c r="A397" s="136">
        <f t="shared" si="5"/>
        <v>385</v>
      </c>
      <c r="B397" s="265"/>
      <c r="C397" s="386"/>
      <c r="D397" s="387"/>
      <c r="E397" s="264"/>
      <c r="F397" s="375"/>
      <c r="G397" s="376"/>
      <c r="H397" s="264"/>
    </row>
    <row r="398" spans="1:8" ht="45" customHeight="1" x14ac:dyDescent="0.25">
      <c r="A398" s="136">
        <f t="shared" ref="A398:A461" si="6">ROW(A386)</f>
        <v>386</v>
      </c>
      <c r="B398" s="265"/>
      <c r="C398" s="386"/>
      <c r="D398" s="387"/>
      <c r="E398" s="264"/>
      <c r="F398" s="375"/>
      <c r="G398" s="376"/>
      <c r="H398" s="264"/>
    </row>
    <row r="399" spans="1:8" ht="45" customHeight="1" x14ac:dyDescent="0.25">
      <c r="A399" s="136">
        <f t="shared" si="6"/>
        <v>387</v>
      </c>
      <c r="B399" s="265"/>
      <c r="C399" s="386"/>
      <c r="D399" s="387"/>
      <c r="E399" s="264"/>
      <c r="F399" s="375"/>
      <c r="G399" s="376"/>
      <c r="H399" s="264"/>
    </row>
    <row r="400" spans="1:8" ht="45" customHeight="1" x14ac:dyDescent="0.25">
      <c r="A400" s="136">
        <f t="shared" si="6"/>
        <v>388</v>
      </c>
      <c r="B400" s="265"/>
      <c r="C400" s="386"/>
      <c r="D400" s="387"/>
      <c r="E400" s="264"/>
      <c r="F400" s="375"/>
      <c r="G400" s="376"/>
      <c r="H400" s="264"/>
    </row>
    <row r="401" spans="1:8" ht="45" customHeight="1" x14ac:dyDescent="0.25">
      <c r="A401" s="136">
        <f t="shared" si="6"/>
        <v>389</v>
      </c>
      <c r="B401" s="265"/>
      <c r="C401" s="386"/>
      <c r="D401" s="387"/>
      <c r="E401" s="264"/>
      <c r="F401" s="375"/>
      <c r="G401" s="376"/>
      <c r="H401" s="264"/>
    </row>
    <row r="402" spans="1:8" ht="45" customHeight="1" x14ac:dyDescent="0.25">
      <c r="A402" s="136">
        <f t="shared" si="6"/>
        <v>390</v>
      </c>
      <c r="B402" s="265"/>
      <c r="C402" s="386"/>
      <c r="D402" s="387"/>
      <c r="E402" s="264"/>
      <c r="F402" s="375"/>
      <c r="G402" s="376"/>
      <c r="H402" s="264"/>
    </row>
    <row r="403" spans="1:8" ht="45" customHeight="1" x14ac:dyDescent="0.25">
      <c r="A403" s="136">
        <f t="shared" si="6"/>
        <v>391</v>
      </c>
      <c r="B403" s="265"/>
      <c r="C403" s="386"/>
      <c r="D403" s="387"/>
      <c r="E403" s="264"/>
      <c r="F403" s="375"/>
      <c r="G403" s="376"/>
      <c r="H403" s="264"/>
    </row>
    <row r="404" spans="1:8" ht="45" customHeight="1" x14ac:dyDescent="0.25">
      <c r="A404" s="136">
        <f t="shared" si="6"/>
        <v>392</v>
      </c>
      <c r="B404" s="265"/>
      <c r="C404" s="386"/>
      <c r="D404" s="387"/>
      <c r="E404" s="264"/>
      <c r="F404" s="375"/>
      <c r="G404" s="376"/>
      <c r="H404" s="264"/>
    </row>
    <row r="405" spans="1:8" ht="45" customHeight="1" x14ac:dyDescent="0.25">
      <c r="A405" s="136">
        <f t="shared" si="6"/>
        <v>393</v>
      </c>
      <c r="B405" s="265"/>
      <c r="C405" s="386"/>
      <c r="D405" s="387"/>
      <c r="E405" s="264"/>
      <c r="F405" s="375"/>
      <c r="G405" s="376"/>
      <c r="H405" s="264"/>
    </row>
    <row r="406" spans="1:8" ht="45" customHeight="1" x14ac:dyDescent="0.25">
      <c r="A406" s="136">
        <f t="shared" si="6"/>
        <v>394</v>
      </c>
      <c r="B406" s="265"/>
      <c r="C406" s="386"/>
      <c r="D406" s="387"/>
      <c r="E406" s="264"/>
      <c r="F406" s="375"/>
      <c r="G406" s="376"/>
      <c r="H406" s="264"/>
    </row>
    <row r="407" spans="1:8" ht="45" customHeight="1" x14ac:dyDescent="0.25">
      <c r="A407" s="136">
        <f t="shared" si="6"/>
        <v>395</v>
      </c>
      <c r="B407" s="265"/>
      <c r="C407" s="386"/>
      <c r="D407" s="387"/>
      <c r="E407" s="264"/>
      <c r="F407" s="375"/>
      <c r="G407" s="376"/>
      <c r="H407" s="264"/>
    </row>
    <row r="408" spans="1:8" ht="45" customHeight="1" x14ac:dyDescent="0.25">
      <c r="A408" s="136">
        <f t="shared" si="6"/>
        <v>396</v>
      </c>
      <c r="B408" s="265"/>
      <c r="C408" s="386"/>
      <c r="D408" s="387"/>
      <c r="E408" s="264"/>
      <c r="F408" s="375"/>
      <c r="G408" s="376"/>
      <c r="H408" s="264"/>
    </row>
    <row r="409" spans="1:8" ht="45" customHeight="1" x14ac:dyDescent="0.25">
      <c r="A409" s="136">
        <f t="shared" si="6"/>
        <v>397</v>
      </c>
      <c r="B409" s="265"/>
      <c r="C409" s="386"/>
      <c r="D409" s="387"/>
      <c r="E409" s="264"/>
      <c r="F409" s="375"/>
      <c r="G409" s="376"/>
      <c r="H409" s="264"/>
    </row>
    <row r="410" spans="1:8" ht="45" customHeight="1" x14ac:dyDescent="0.25">
      <c r="A410" s="136">
        <f t="shared" si="6"/>
        <v>398</v>
      </c>
      <c r="B410" s="265"/>
      <c r="C410" s="386"/>
      <c r="D410" s="387"/>
      <c r="E410" s="264"/>
      <c r="F410" s="375"/>
      <c r="G410" s="376"/>
      <c r="H410" s="264"/>
    </row>
    <row r="411" spans="1:8" ht="45" customHeight="1" x14ac:dyDescent="0.25">
      <c r="A411" s="136">
        <f t="shared" si="6"/>
        <v>399</v>
      </c>
      <c r="B411" s="265"/>
      <c r="C411" s="386"/>
      <c r="D411" s="387"/>
      <c r="E411" s="264"/>
      <c r="F411" s="375"/>
      <c r="G411" s="376"/>
      <c r="H411" s="264"/>
    </row>
    <row r="412" spans="1:8" ht="45" customHeight="1" x14ac:dyDescent="0.25">
      <c r="A412" s="136">
        <f t="shared" si="6"/>
        <v>400</v>
      </c>
      <c r="B412" s="265"/>
      <c r="C412" s="386"/>
      <c r="D412" s="387"/>
      <c r="E412" s="264"/>
      <c r="F412" s="375"/>
      <c r="G412" s="376"/>
      <c r="H412" s="264"/>
    </row>
    <row r="413" spans="1:8" ht="45" customHeight="1" x14ac:dyDescent="0.25">
      <c r="A413" s="136">
        <f t="shared" si="6"/>
        <v>401</v>
      </c>
      <c r="B413" s="265"/>
      <c r="C413" s="386"/>
      <c r="D413" s="387"/>
      <c r="E413" s="264"/>
      <c r="F413" s="375"/>
      <c r="G413" s="376"/>
      <c r="H413" s="264"/>
    </row>
    <row r="414" spans="1:8" ht="45" customHeight="1" x14ac:dyDescent="0.25">
      <c r="A414" s="136">
        <f t="shared" si="6"/>
        <v>402</v>
      </c>
      <c r="B414" s="265"/>
      <c r="C414" s="386"/>
      <c r="D414" s="387"/>
      <c r="E414" s="264"/>
      <c r="F414" s="375"/>
      <c r="G414" s="376"/>
      <c r="H414" s="264"/>
    </row>
    <row r="415" spans="1:8" ht="45" customHeight="1" x14ac:dyDescent="0.25">
      <c r="A415" s="136">
        <f t="shared" si="6"/>
        <v>403</v>
      </c>
      <c r="B415" s="265"/>
      <c r="C415" s="386"/>
      <c r="D415" s="387"/>
      <c r="E415" s="264"/>
      <c r="F415" s="375"/>
      <c r="G415" s="376"/>
      <c r="H415" s="264"/>
    </row>
    <row r="416" spans="1:8" ht="45" customHeight="1" x14ac:dyDescent="0.25">
      <c r="A416" s="136">
        <f t="shared" si="6"/>
        <v>404</v>
      </c>
      <c r="B416" s="265"/>
      <c r="C416" s="386"/>
      <c r="D416" s="387"/>
      <c r="E416" s="264"/>
      <c r="F416" s="375"/>
      <c r="G416" s="376"/>
      <c r="H416" s="264"/>
    </row>
    <row r="417" spans="1:8" ht="45" customHeight="1" x14ac:dyDescent="0.25">
      <c r="A417" s="136">
        <f t="shared" si="6"/>
        <v>405</v>
      </c>
      <c r="B417" s="265"/>
      <c r="C417" s="386"/>
      <c r="D417" s="387"/>
      <c r="E417" s="264"/>
      <c r="F417" s="375"/>
      <c r="G417" s="376"/>
      <c r="H417" s="264"/>
    </row>
    <row r="418" spans="1:8" ht="45" customHeight="1" x14ac:dyDescent="0.25">
      <c r="A418" s="136">
        <f t="shared" si="6"/>
        <v>406</v>
      </c>
      <c r="B418" s="265"/>
      <c r="C418" s="386"/>
      <c r="D418" s="387"/>
      <c r="E418" s="264"/>
      <c r="F418" s="375"/>
      <c r="G418" s="376"/>
      <c r="H418" s="264"/>
    </row>
    <row r="419" spans="1:8" ht="45" customHeight="1" x14ac:dyDescent="0.25">
      <c r="A419" s="136">
        <f t="shared" si="6"/>
        <v>407</v>
      </c>
      <c r="B419" s="265"/>
      <c r="C419" s="386"/>
      <c r="D419" s="387"/>
      <c r="E419" s="264"/>
      <c r="F419" s="375"/>
      <c r="G419" s="376"/>
      <c r="H419" s="264"/>
    </row>
    <row r="420" spans="1:8" ht="45" customHeight="1" x14ac:dyDescent="0.25">
      <c r="A420" s="136">
        <f t="shared" si="6"/>
        <v>408</v>
      </c>
      <c r="B420" s="265"/>
      <c r="C420" s="386"/>
      <c r="D420" s="387"/>
      <c r="E420" s="264"/>
      <c r="F420" s="375"/>
      <c r="G420" s="376"/>
      <c r="H420" s="264"/>
    </row>
    <row r="421" spans="1:8" ht="45" customHeight="1" x14ac:dyDescent="0.25">
      <c r="A421" s="136">
        <f t="shared" si="6"/>
        <v>409</v>
      </c>
      <c r="B421" s="265"/>
      <c r="C421" s="386"/>
      <c r="D421" s="387"/>
      <c r="E421" s="264"/>
      <c r="F421" s="375"/>
      <c r="G421" s="376"/>
      <c r="H421" s="264"/>
    </row>
    <row r="422" spans="1:8" ht="45" customHeight="1" x14ac:dyDescent="0.25">
      <c r="A422" s="136">
        <f t="shared" si="6"/>
        <v>410</v>
      </c>
      <c r="B422" s="265"/>
      <c r="C422" s="386"/>
      <c r="D422" s="387"/>
      <c r="E422" s="264"/>
      <c r="F422" s="375"/>
      <c r="G422" s="376"/>
      <c r="H422" s="264"/>
    </row>
    <row r="423" spans="1:8" ht="45" customHeight="1" x14ac:dyDescent="0.25">
      <c r="A423" s="136">
        <f t="shared" si="6"/>
        <v>411</v>
      </c>
      <c r="B423" s="265"/>
      <c r="C423" s="386"/>
      <c r="D423" s="387"/>
      <c r="E423" s="264"/>
      <c r="F423" s="375"/>
      <c r="G423" s="376"/>
      <c r="H423" s="264"/>
    </row>
    <row r="424" spans="1:8" ht="45" customHeight="1" x14ac:dyDescent="0.25">
      <c r="A424" s="136">
        <f t="shared" si="6"/>
        <v>412</v>
      </c>
      <c r="B424" s="265"/>
      <c r="C424" s="386"/>
      <c r="D424" s="387"/>
      <c r="E424" s="264"/>
      <c r="F424" s="375"/>
      <c r="G424" s="376"/>
      <c r="H424" s="264"/>
    </row>
    <row r="425" spans="1:8" ht="45" customHeight="1" x14ac:dyDescent="0.25">
      <c r="A425" s="136">
        <f t="shared" si="6"/>
        <v>413</v>
      </c>
      <c r="B425" s="265"/>
      <c r="C425" s="386"/>
      <c r="D425" s="387"/>
      <c r="E425" s="264"/>
      <c r="F425" s="375"/>
      <c r="G425" s="376"/>
      <c r="H425" s="264"/>
    </row>
    <row r="426" spans="1:8" ht="45" customHeight="1" x14ac:dyDescent="0.25">
      <c r="A426" s="136">
        <f t="shared" si="6"/>
        <v>414</v>
      </c>
      <c r="B426" s="265"/>
      <c r="C426" s="386"/>
      <c r="D426" s="387"/>
      <c r="E426" s="264"/>
      <c r="F426" s="375"/>
      <c r="G426" s="376"/>
      <c r="H426" s="264"/>
    </row>
    <row r="427" spans="1:8" ht="45" customHeight="1" x14ac:dyDescent="0.25">
      <c r="A427" s="136">
        <f t="shared" si="6"/>
        <v>415</v>
      </c>
      <c r="B427" s="265"/>
      <c r="C427" s="386"/>
      <c r="D427" s="387"/>
      <c r="E427" s="264"/>
      <c r="F427" s="375"/>
      <c r="G427" s="376"/>
      <c r="H427" s="264"/>
    </row>
    <row r="428" spans="1:8" ht="45" customHeight="1" x14ac:dyDescent="0.25">
      <c r="A428" s="136">
        <f t="shared" si="6"/>
        <v>416</v>
      </c>
      <c r="B428" s="265"/>
      <c r="C428" s="386"/>
      <c r="D428" s="387"/>
      <c r="E428" s="264"/>
      <c r="F428" s="375"/>
      <c r="G428" s="376"/>
      <c r="H428" s="264"/>
    </row>
    <row r="429" spans="1:8" ht="45" customHeight="1" x14ac:dyDescent="0.25">
      <c r="A429" s="136">
        <f t="shared" si="6"/>
        <v>417</v>
      </c>
      <c r="B429" s="265"/>
      <c r="C429" s="386"/>
      <c r="D429" s="387"/>
      <c r="E429" s="264"/>
      <c r="F429" s="375"/>
      <c r="G429" s="376"/>
      <c r="H429" s="264"/>
    </row>
    <row r="430" spans="1:8" ht="45" customHeight="1" x14ac:dyDescent="0.25">
      <c r="A430" s="136">
        <f t="shared" si="6"/>
        <v>418</v>
      </c>
      <c r="B430" s="265"/>
      <c r="C430" s="386"/>
      <c r="D430" s="387"/>
      <c r="E430" s="264"/>
      <c r="F430" s="375"/>
      <c r="G430" s="376"/>
      <c r="H430" s="264"/>
    </row>
    <row r="431" spans="1:8" ht="45" customHeight="1" x14ac:dyDescent="0.25">
      <c r="A431" s="136">
        <f t="shared" si="6"/>
        <v>419</v>
      </c>
      <c r="B431" s="265"/>
      <c r="C431" s="386"/>
      <c r="D431" s="387"/>
      <c r="E431" s="264"/>
      <c r="F431" s="375"/>
      <c r="G431" s="376"/>
      <c r="H431" s="264"/>
    </row>
    <row r="432" spans="1:8" ht="45" customHeight="1" x14ac:dyDescent="0.25">
      <c r="A432" s="136">
        <f t="shared" si="6"/>
        <v>420</v>
      </c>
      <c r="B432" s="265"/>
      <c r="C432" s="386"/>
      <c r="D432" s="387"/>
      <c r="E432" s="264"/>
      <c r="F432" s="375"/>
      <c r="G432" s="376"/>
      <c r="H432" s="264"/>
    </row>
    <row r="433" spans="1:8" ht="45" customHeight="1" x14ac:dyDescent="0.25">
      <c r="A433" s="136">
        <f t="shared" si="6"/>
        <v>421</v>
      </c>
      <c r="B433" s="265"/>
      <c r="C433" s="386"/>
      <c r="D433" s="387"/>
      <c r="E433" s="264"/>
      <c r="F433" s="375"/>
      <c r="G433" s="376"/>
      <c r="H433" s="264"/>
    </row>
    <row r="434" spans="1:8" ht="45" customHeight="1" x14ac:dyDescent="0.25">
      <c r="A434" s="136">
        <f t="shared" si="6"/>
        <v>422</v>
      </c>
      <c r="B434" s="265"/>
      <c r="C434" s="386"/>
      <c r="D434" s="387"/>
      <c r="E434" s="264"/>
      <c r="F434" s="375"/>
      <c r="G434" s="376"/>
      <c r="H434" s="264"/>
    </row>
    <row r="435" spans="1:8" ht="45" customHeight="1" x14ac:dyDescent="0.25">
      <c r="A435" s="136">
        <f t="shared" si="6"/>
        <v>423</v>
      </c>
      <c r="B435" s="265"/>
      <c r="C435" s="386"/>
      <c r="D435" s="387"/>
      <c r="E435" s="264"/>
      <c r="F435" s="375"/>
      <c r="G435" s="376"/>
      <c r="H435" s="264"/>
    </row>
    <row r="436" spans="1:8" ht="45" customHeight="1" x14ac:dyDescent="0.25">
      <c r="A436" s="136">
        <f t="shared" si="6"/>
        <v>424</v>
      </c>
      <c r="B436" s="265"/>
      <c r="C436" s="386"/>
      <c r="D436" s="387"/>
      <c r="E436" s="264"/>
      <c r="F436" s="375"/>
      <c r="G436" s="376"/>
      <c r="H436" s="264"/>
    </row>
    <row r="437" spans="1:8" ht="45" customHeight="1" x14ac:dyDescent="0.25">
      <c r="A437" s="136">
        <f t="shared" si="6"/>
        <v>425</v>
      </c>
      <c r="B437" s="265"/>
      <c r="C437" s="386"/>
      <c r="D437" s="387"/>
      <c r="E437" s="264"/>
      <c r="F437" s="375"/>
      <c r="G437" s="376"/>
      <c r="H437" s="264"/>
    </row>
    <row r="438" spans="1:8" ht="45" customHeight="1" x14ac:dyDescent="0.25">
      <c r="A438" s="136">
        <f t="shared" si="6"/>
        <v>426</v>
      </c>
      <c r="B438" s="265"/>
      <c r="C438" s="386"/>
      <c r="D438" s="387"/>
      <c r="E438" s="264"/>
      <c r="F438" s="375"/>
      <c r="G438" s="376"/>
      <c r="H438" s="264"/>
    </row>
    <row r="439" spans="1:8" ht="45" customHeight="1" x14ac:dyDescent="0.25">
      <c r="A439" s="136">
        <f t="shared" si="6"/>
        <v>427</v>
      </c>
      <c r="B439" s="265"/>
      <c r="C439" s="386"/>
      <c r="D439" s="387"/>
      <c r="E439" s="264"/>
      <c r="F439" s="375"/>
      <c r="G439" s="376"/>
      <c r="H439" s="264"/>
    </row>
    <row r="440" spans="1:8" ht="45" customHeight="1" x14ac:dyDescent="0.25">
      <c r="A440" s="136">
        <f t="shared" si="6"/>
        <v>428</v>
      </c>
      <c r="B440" s="265"/>
      <c r="C440" s="386"/>
      <c r="D440" s="387"/>
      <c r="E440" s="264"/>
      <c r="F440" s="375"/>
      <c r="G440" s="376"/>
      <c r="H440" s="264"/>
    </row>
    <row r="441" spans="1:8" ht="45" customHeight="1" x14ac:dyDescent="0.25">
      <c r="A441" s="136">
        <f t="shared" si="6"/>
        <v>429</v>
      </c>
      <c r="B441" s="265"/>
      <c r="C441" s="386"/>
      <c r="D441" s="387"/>
      <c r="E441" s="264"/>
      <c r="F441" s="375"/>
      <c r="G441" s="376"/>
      <c r="H441" s="264"/>
    </row>
    <row r="442" spans="1:8" ht="45" customHeight="1" x14ac:dyDescent="0.25">
      <c r="A442" s="136">
        <f t="shared" si="6"/>
        <v>430</v>
      </c>
      <c r="B442" s="265"/>
      <c r="C442" s="386"/>
      <c r="D442" s="387"/>
      <c r="E442" s="264"/>
      <c r="F442" s="375"/>
      <c r="G442" s="376"/>
      <c r="H442" s="264"/>
    </row>
    <row r="443" spans="1:8" ht="45" customHeight="1" x14ac:dyDescent="0.25">
      <c r="A443" s="136">
        <f t="shared" si="6"/>
        <v>431</v>
      </c>
      <c r="B443" s="265"/>
      <c r="C443" s="386"/>
      <c r="D443" s="387"/>
      <c r="E443" s="264"/>
      <c r="F443" s="375"/>
      <c r="G443" s="376"/>
      <c r="H443" s="264"/>
    </row>
    <row r="444" spans="1:8" ht="45" customHeight="1" x14ac:dyDescent="0.25">
      <c r="A444" s="136">
        <f t="shared" si="6"/>
        <v>432</v>
      </c>
      <c r="B444" s="265"/>
      <c r="C444" s="386"/>
      <c r="D444" s="387"/>
      <c r="E444" s="264"/>
      <c r="F444" s="375"/>
      <c r="G444" s="376"/>
      <c r="H444" s="264"/>
    </row>
    <row r="445" spans="1:8" ht="45" customHeight="1" x14ac:dyDescent="0.25">
      <c r="A445" s="136">
        <f t="shared" si="6"/>
        <v>433</v>
      </c>
      <c r="B445" s="265"/>
      <c r="C445" s="386"/>
      <c r="D445" s="387"/>
      <c r="E445" s="264"/>
      <c r="F445" s="375"/>
      <c r="G445" s="376"/>
      <c r="H445" s="264"/>
    </row>
    <row r="446" spans="1:8" ht="45" customHeight="1" x14ac:dyDescent="0.25">
      <c r="A446" s="136">
        <f t="shared" si="6"/>
        <v>434</v>
      </c>
      <c r="B446" s="265"/>
      <c r="C446" s="386"/>
      <c r="D446" s="387"/>
      <c r="E446" s="264"/>
      <c r="F446" s="375"/>
      <c r="G446" s="376"/>
      <c r="H446" s="264"/>
    </row>
    <row r="447" spans="1:8" ht="45" customHeight="1" x14ac:dyDescent="0.25">
      <c r="A447" s="136">
        <f t="shared" si="6"/>
        <v>435</v>
      </c>
      <c r="B447" s="265"/>
      <c r="C447" s="386"/>
      <c r="D447" s="387"/>
      <c r="E447" s="264"/>
      <c r="F447" s="375"/>
      <c r="G447" s="376"/>
      <c r="H447" s="264"/>
    </row>
    <row r="448" spans="1:8" ht="45" customHeight="1" x14ac:dyDescent="0.25">
      <c r="A448" s="136">
        <f t="shared" si="6"/>
        <v>436</v>
      </c>
      <c r="B448" s="265"/>
      <c r="C448" s="386"/>
      <c r="D448" s="387"/>
      <c r="E448" s="264"/>
      <c r="F448" s="375"/>
      <c r="G448" s="376"/>
      <c r="H448" s="264"/>
    </row>
    <row r="449" spans="1:8" ht="45" customHeight="1" x14ac:dyDescent="0.25">
      <c r="A449" s="136">
        <f t="shared" si="6"/>
        <v>437</v>
      </c>
      <c r="B449" s="265"/>
      <c r="C449" s="386"/>
      <c r="D449" s="387"/>
      <c r="E449" s="264"/>
      <c r="F449" s="375"/>
      <c r="G449" s="376"/>
      <c r="H449" s="264"/>
    </row>
    <row r="450" spans="1:8" ht="45" customHeight="1" x14ac:dyDescent="0.25">
      <c r="A450" s="136">
        <f t="shared" si="6"/>
        <v>438</v>
      </c>
      <c r="B450" s="265"/>
      <c r="C450" s="386"/>
      <c r="D450" s="387"/>
      <c r="E450" s="264"/>
      <c r="F450" s="375"/>
      <c r="G450" s="376"/>
      <c r="H450" s="264"/>
    </row>
    <row r="451" spans="1:8" ht="45" customHeight="1" x14ac:dyDescent="0.25">
      <c r="A451" s="136">
        <f t="shared" si="6"/>
        <v>439</v>
      </c>
      <c r="B451" s="265"/>
      <c r="C451" s="386"/>
      <c r="D451" s="387"/>
      <c r="E451" s="264"/>
      <c r="F451" s="375"/>
      <c r="G451" s="376"/>
      <c r="H451" s="264"/>
    </row>
    <row r="452" spans="1:8" ht="45" customHeight="1" x14ac:dyDescent="0.25">
      <c r="A452" s="136">
        <f t="shared" si="6"/>
        <v>440</v>
      </c>
      <c r="B452" s="265"/>
      <c r="C452" s="386"/>
      <c r="D452" s="387"/>
      <c r="E452" s="264"/>
      <c r="F452" s="375"/>
      <c r="G452" s="376"/>
      <c r="H452" s="264"/>
    </row>
    <row r="453" spans="1:8" ht="45" customHeight="1" x14ac:dyDescent="0.25">
      <c r="A453" s="136">
        <f t="shared" si="6"/>
        <v>441</v>
      </c>
      <c r="B453" s="265"/>
      <c r="C453" s="386"/>
      <c r="D453" s="387"/>
      <c r="E453" s="264"/>
      <c r="F453" s="375"/>
      <c r="G453" s="376"/>
      <c r="H453" s="264"/>
    </row>
    <row r="454" spans="1:8" ht="45" customHeight="1" x14ac:dyDescent="0.25">
      <c r="A454" s="136">
        <f t="shared" si="6"/>
        <v>442</v>
      </c>
      <c r="B454" s="265"/>
      <c r="C454" s="386"/>
      <c r="D454" s="387"/>
      <c r="E454" s="264"/>
      <c r="F454" s="375"/>
      <c r="G454" s="376"/>
      <c r="H454" s="264"/>
    </row>
    <row r="455" spans="1:8" ht="45" customHeight="1" x14ac:dyDescent="0.25">
      <c r="A455" s="136">
        <f t="shared" si="6"/>
        <v>443</v>
      </c>
      <c r="B455" s="265"/>
      <c r="C455" s="386"/>
      <c r="D455" s="387"/>
      <c r="E455" s="264"/>
      <c r="F455" s="375"/>
      <c r="G455" s="376"/>
      <c r="H455" s="264"/>
    </row>
    <row r="456" spans="1:8" ht="45" customHeight="1" x14ac:dyDescent="0.25">
      <c r="A456" s="136">
        <f t="shared" si="6"/>
        <v>444</v>
      </c>
      <c r="B456" s="265"/>
      <c r="C456" s="386"/>
      <c r="D456" s="387"/>
      <c r="E456" s="264"/>
      <c r="F456" s="375"/>
      <c r="G456" s="376"/>
      <c r="H456" s="264"/>
    </row>
    <row r="457" spans="1:8" ht="45" customHeight="1" x14ac:dyDescent="0.25">
      <c r="A457" s="136">
        <f t="shared" si="6"/>
        <v>445</v>
      </c>
      <c r="B457" s="265"/>
      <c r="C457" s="386"/>
      <c r="D457" s="387"/>
      <c r="E457" s="264"/>
      <c r="F457" s="375"/>
      <c r="G457" s="376"/>
      <c r="H457" s="264"/>
    </row>
    <row r="458" spans="1:8" ht="45" customHeight="1" x14ac:dyDescent="0.25">
      <c r="A458" s="136">
        <f t="shared" si="6"/>
        <v>446</v>
      </c>
      <c r="B458" s="265"/>
      <c r="C458" s="386"/>
      <c r="D458" s="387"/>
      <c r="E458" s="264"/>
      <c r="F458" s="375"/>
      <c r="G458" s="376"/>
      <c r="H458" s="264"/>
    </row>
    <row r="459" spans="1:8" ht="45" customHeight="1" x14ac:dyDescent="0.25">
      <c r="A459" s="136">
        <f t="shared" si="6"/>
        <v>447</v>
      </c>
      <c r="B459" s="265"/>
      <c r="C459" s="386"/>
      <c r="D459" s="387"/>
      <c r="E459" s="264"/>
      <c r="F459" s="375"/>
      <c r="G459" s="376"/>
      <c r="H459" s="264"/>
    </row>
    <row r="460" spans="1:8" ht="45" customHeight="1" x14ac:dyDescent="0.25">
      <c r="A460" s="136">
        <f t="shared" si="6"/>
        <v>448</v>
      </c>
      <c r="B460" s="265"/>
      <c r="C460" s="386"/>
      <c r="D460" s="387"/>
      <c r="E460" s="264"/>
      <c r="F460" s="375"/>
      <c r="G460" s="376"/>
      <c r="H460" s="264"/>
    </row>
    <row r="461" spans="1:8" ht="45" customHeight="1" x14ac:dyDescent="0.25">
      <c r="A461" s="136">
        <f t="shared" si="6"/>
        <v>449</v>
      </c>
      <c r="B461" s="265"/>
      <c r="C461" s="386"/>
      <c r="D461" s="387"/>
      <c r="E461" s="264"/>
      <c r="F461" s="375"/>
      <c r="G461" s="376"/>
      <c r="H461" s="264"/>
    </row>
    <row r="462" spans="1:8" ht="45" customHeight="1" x14ac:dyDescent="0.25">
      <c r="A462" s="136">
        <f t="shared" ref="A462:A525" si="7">ROW(A450)</f>
        <v>450</v>
      </c>
      <c r="B462" s="265"/>
      <c r="C462" s="386"/>
      <c r="D462" s="387"/>
      <c r="E462" s="264"/>
      <c r="F462" s="375"/>
      <c r="G462" s="376"/>
      <c r="H462" s="264"/>
    </row>
    <row r="463" spans="1:8" ht="45" customHeight="1" x14ac:dyDescent="0.25">
      <c r="A463" s="136">
        <f t="shared" si="7"/>
        <v>451</v>
      </c>
      <c r="B463" s="265"/>
      <c r="C463" s="386"/>
      <c r="D463" s="387"/>
      <c r="E463" s="264"/>
      <c r="F463" s="375"/>
      <c r="G463" s="376"/>
      <c r="H463" s="264"/>
    </row>
    <row r="464" spans="1:8" ht="45" customHeight="1" x14ac:dyDescent="0.25">
      <c r="A464" s="136">
        <f t="shared" si="7"/>
        <v>452</v>
      </c>
      <c r="B464" s="265"/>
      <c r="C464" s="386"/>
      <c r="D464" s="387"/>
      <c r="E464" s="264"/>
      <c r="F464" s="375"/>
      <c r="G464" s="376"/>
      <c r="H464" s="264"/>
    </row>
    <row r="465" spans="1:8" ht="45" customHeight="1" x14ac:dyDescent="0.25">
      <c r="A465" s="136">
        <f t="shared" si="7"/>
        <v>453</v>
      </c>
      <c r="B465" s="265"/>
      <c r="C465" s="386"/>
      <c r="D465" s="387"/>
      <c r="E465" s="264"/>
      <c r="F465" s="375"/>
      <c r="G465" s="376"/>
      <c r="H465" s="264"/>
    </row>
    <row r="466" spans="1:8" ht="45" customHeight="1" x14ac:dyDescent="0.25">
      <c r="A466" s="136">
        <f t="shared" si="7"/>
        <v>454</v>
      </c>
      <c r="B466" s="265"/>
      <c r="C466" s="386"/>
      <c r="D466" s="387"/>
      <c r="E466" s="264"/>
      <c r="F466" s="375"/>
      <c r="G466" s="376"/>
      <c r="H466" s="264"/>
    </row>
    <row r="467" spans="1:8" ht="45" customHeight="1" x14ac:dyDescent="0.25">
      <c r="A467" s="136">
        <f t="shared" si="7"/>
        <v>455</v>
      </c>
      <c r="B467" s="265"/>
      <c r="C467" s="386"/>
      <c r="D467" s="387"/>
      <c r="E467" s="264"/>
      <c r="F467" s="375"/>
      <c r="G467" s="376"/>
      <c r="H467" s="264"/>
    </row>
    <row r="468" spans="1:8" ht="45" customHeight="1" x14ac:dyDescent="0.25">
      <c r="A468" s="136">
        <f t="shared" si="7"/>
        <v>456</v>
      </c>
      <c r="B468" s="265"/>
      <c r="C468" s="386"/>
      <c r="D468" s="387"/>
      <c r="E468" s="264"/>
      <c r="F468" s="375"/>
      <c r="G468" s="376"/>
      <c r="H468" s="264"/>
    </row>
    <row r="469" spans="1:8" ht="45" customHeight="1" x14ac:dyDescent="0.25">
      <c r="A469" s="136">
        <f t="shared" si="7"/>
        <v>457</v>
      </c>
      <c r="B469" s="265"/>
      <c r="C469" s="386"/>
      <c r="D469" s="387"/>
      <c r="E469" s="264"/>
      <c r="F469" s="375"/>
      <c r="G469" s="376"/>
      <c r="H469" s="264"/>
    </row>
    <row r="470" spans="1:8" ht="45" customHeight="1" x14ac:dyDescent="0.25">
      <c r="A470" s="136">
        <f t="shared" si="7"/>
        <v>458</v>
      </c>
      <c r="B470" s="265"/>
      <c r="C470" s="386"/>
      <c r="D470" s="387"/>
      <c r="E470" s="264"/>
      <c r="F470" s="375"/>
      <c r="G470" s="376"/>
      <c r="H470" s="264"/>
    </row>
    <row r="471" spans="1:8" ht="45" customHeight="1" x14ac:dyDescent="0.25">
      <c r="A471" s="136">
        <f t="shared" si="7"/>
        <v>459</v>
      </c>
      <c r="B471" s="265"/>
      <c r="C471" s="386"/>
      <c r="D471" s="387"/>
      <c r="E471" s="264"/>
      <c r="F471" s="375"/>
      <c r="G471" s="376"/>
      <c r="H471" s="264"/>
    </row>
    <row r="472" spans="1:8" ht="45" customHeight="1" x14ac:dyDescent="0.25">
      <c r="A472" s="136">
        <f t="shared" si="7"/>
        <v>460</v>
      </c>
      <c r="B472" s="265"/>
      <c r="C472" s="386"/>
      <c r="D472" s="387"/>
      <c r="E472" s="264"/>
      <c r="F472" s="375"/>
      <c r="G472" s="376"/>
      <c r="H472" s="264"/>
    </row>
    <row r="473" spans="1:8" ht="45" customHeight="1" x14ac:dyDescent="0.25">
      <c r="A473" s="136">
        <f t="shared" si="7"/>
        <v>461</v>
      </c>
      <c r="B473" s="265"/>
      <c r="C473" s="386"/>
      <c r="D473" s="387"/>
      <c r="E473" s="264"/>
      <c r="F473" s="375"/>
      <c r="G473" s="376"/>
      <c r="H473" s="264"/>
    </row>
    <row r="474" spans="1:8" ht="45" customHeight="1" x14ac:dyDescent="0.25">
      <c r="A474" s="136">
        <f t="shared" si="7"/>
        <v>462</v>
      </c>
      <c r="B474" s="265"/>
      <c r="C474" s="386"/>
      <c r="D474" s="387"/>
      <c r="E474" s="264"/>
      <c r="F474" s="375"/>
      <c r="G474" s="376"/>
      <c r="H474" s="264"/>
    </row>
    <row r="475" spans="1:8" ht="45" customHeight="1" x14ac:dyDescent="0.25">
      <c r="A475" s="136">
        <f t="shared" si="7"/>
        <v>463</v>
      </c>
      <c r="B475" s="265"/>
      <c r="C475" s="386"/>
      <c r="D475" s="387"/>
      <c r="E475" s="264"/>
      <c r="F475" s="375"/>
      <c r="G475" s="376"/>
      <c r="H475" s="264"/>
    </row>
    <row r="476" spans="1:8" ht="45" customHeight="1" x14ac:dyDescent="0.25">
      <c r="A476" s="136">
        <f t="shared" si="7"/>
        <v>464</v>
      </c>
      <c r="B476" s="265"/>
      <c r="C476" s="386"/>
      <c r="D476" s="387"/>
      <c r="E476" s="264"/>
      <c r="F476" s="375"/>
      <c r="G476" s="376"/>
      <c r="H476" s="264"/>
    </row>
    <row r="477" spans="1:8" ht="45" customHeight="1" x14ac:dyDescent="0.25">
      <c r="A477" s="136">
        <f t="shared" si="7"/>
        <v>465</v>
      </c>
      <c r="B477" s="265"/>
      <c r="C477" s="386"/>
      <c r="D477" s="387"/>
      <c r="E477" s="264"/>
      <c r="F477" s="375"/>
      <c r="G477" s="376"/>
      <c r="H477" s="264"/>
    </row>
    <row r="478" spans="1:8" ht="45" customHeight="1" x14ac:dyDescent="0.25">
      <c r="A478" s="136">
        <f t="shared" si="7"/>
        <v>466</v>
      </c>
      <c r="B478" s="265"/>
      <c r="C478" s="386"/>
      <c r="D478" s="387"/>
      <c r="E478" s="264"/>
      <c r="F478" s="375"/>
      <c r="G478" s="376"/>
      <c r="H478" s="264"/>
    </row>
    <row r="479" spans="1:8" ht="45" customHeight="1" x14ac:dyDescent="0.25">
      <c r="A479" s="136">
        <f t="shared" si="7"/>
        <v>467</v>
      </c>
      <c r="B479" s="265"/>
      <c r="C479" s="386"/>
      <c r="D479" s="387"/>
      <c r="E479" s="264"/>
      <c r="F479" s="375"/>
      <c r="G479" s="376"/>
      <c r="H479" s="264"/>
    </row>
    <row r="480" spans="1:8" ht="45" customHeight="1" x14ac:dyDescent="0.25">
      <c r="A480" s="136">
        <f t="shared" si="7"/>
        <v>468</v>
      </c>
      <c r="B480" s="265"/>
      <c r="C480" s="386"/>
      <c r="D480" s="387"/>
      <c r="E480" s="264"/>
      <c r="F480" s="375"/>
      <c r="G480" s="376"/>
      <c r="H480" s="264"/>
    </row>
    <row r="481" spans="1:8" ht="45" customHeight="1" x14ac:dyDescent="0.25">
      <c r="A481" s="136">
        <f t="shared" si="7"/>
        <v>469</v>
      </c>
      <c r="B481" s="265"/>
      <c r="C481" s="386"/>
      <c r="D481" s="387"/>
      <c r="E481" s="264"/>
      <c r="F481" s="375"/>
      <c r="G481" s="376"/>
      <c r="H481" s="264"/>
    </row>
    <row r="482" spans="1:8" ht="45" customHeight="1" x14ac:dyDescent="0.25">
      <c r="A482" s="136">
        <f t="shared" si="7"/>
        <v>470</v>
      </c>
      <c r="B482" s="265"/>
      <c r="C482" s="386"/>
      <c r="D482" s="387"/>
      <c r="E482" s="264"/>
      <c r="F482" s="375"/>
      <c r="G482" s="376"/>
      <c r="H482" s="264"/>
    </row>
    <row r="483" spans="1:8" ht="45" customHeight="1" x14ac:dyDescent="0.25">
      <c r="A483" s="136">
        <f t="shared" si="7"/>
        <v>471</v>
      </c>
      <c r="B483" s="265"/>
      <c r="C483" s="386"/>
      <c r="D483" s="387"/>
      <c r="E483" s="264"/>
      <c r="F483" s="375"/>
      <c r="G483" s="376"/>
      <c r="H483" s="264"/>
    </row>
    <row r="484" spans="1:8" ht="45" customHeight="1" x14ac:dyDescent="0.25">
      <c r="A484" s="136">
        <f t="shared" si="7"/>
        <v>472</v>
      </c>
      <c r="B484" s="265"/>
      <c r="C484" s="386"/>
      <c r="D484" s="387"/>
      <c r="E484" s="264"/>
      <c r="F484" s="375"/>
      <c r="G484" s="376"/>
      <c r="H484" s="264"/>
    </row>
    <row r="485" spans="1:8" ht="45" customHeight="1" x14ac:dyDescent="0.25">
      <c r="A485" s="136">
        <f t="shared" si="7"/>
        <v>473</v>
      </c>
      <c r="B485" s="265"/>
      <c r="C485" s="386"/>
      <c r="D485" s="387"/>
      <c r="E485" s="264"/>
      <c r="F485" s="375"/>
      <c r="G485" s="376"/>
      <c r="H485" s="264"/>
    </row>
    <row r="486" spans="1:8" ht="45" customHeight="1" x14ac:dyDescent="0.25">
      <c r="A486" s="136">
        <f t="shared" si="7"/>
        <v>474</v>
      </c>
      <c r="B486" s="265"/>
      <c r="C486" s="386"/>
      <c r="D486" s="387"/>
      <c r="E486" s="264"/>
      <c r="F486" s="375"/>
      <c r="G486" s="376"/>
      <c r="H486" s="264"/>
    </row>
    <row r="487" spans="1:8" ht="45" customHeight="1" x14ac:dyDescent="0.25">
      <c r="A487" s="136">
        <f t="shared" si="7"/>
        <v>475</v>
      </c>
      <c r="B487" s="265"/>
      <c r="C487" s="386"/>
      <c r="D487" s="387"/>
      <c r="E487" s="264"/>
      <c r="F487" s="375"/>
      <c r="G487" s="376"/>
      <c r="H487" s="264"/>
    </row>
    <row r="488" spans="1:8" ht="45" customHeight="1" x14ac:dyDescent="0.25">
      <c r="A488" s="136">
        <f t="shared" si="7"/>
        <v>476</v>
      </c>
      <c r="B488" s="265"/>
      <c r="C488" s="386"/>
      <c r="D488" s="387"/>
      <c r="E488" s="264"/>
      <c r="F488" s="375"/>
      <c r="G488" s="376"/>
      <c r="H488" s="264"/>
    </row>
    <row r="489" spans="1:8" ht="45" customHeight="1" x14ac:dyDescent="0.25">
      <c r="A489" s="136">
        <f t="shared" si="7"/>
        <v>477</v>
      </c>
      <c r="B489" s="265"/>
      <c r="C489" s="386"/>
      <c r="D489" s="387"/>
      <c r="E489" s="264"/>
      <c r="F489" s="375"/>
      <c r="G489" s="376"/>
      <c r="H489" s="264"/>
    </row>
    <row r="490" spans="1:8" ht="45" customHeight="1" x14ac:dyDescent="0.25">
      <c r="A490" s="136">
        <f t="shared" si="7"/>
        <v>478</v>
      </c>
      <c r="B490" s="265"/>
      <c r="C490" s="386"/>
      <c r="D490" s="387"/>
      <c r="E490" s="264"/>
      <c r="F490" s="375"/>
      <c r="G490" s="376"/>
      <c r="H490" s="264"/>
    </row>
    <row r="491" spans="1:8" ht="45" customHeight="1" x14ac:dyDescent="0.25">
      <c r="A491" s="136">
        <f t="shared" si="7"/>
        <v>479</v>
      </c>
      <c r="B491" s="265"/>
      <c r="C491" s="386"/>
      <c r="D491" s="387"/>
      <c r="E491" s="264"/>
      <c r="F491" s="375"/>
      <c r="G491" s="376"/>
      <c r="H491" s="264"/>
    </row>
    <row r="492" spans="1:8" ht="45" customHeight="1" x14ac:dyDescent="0.25">
      <c r="A492" s="136">
        <f t="shared" si="7"/>
        <v>480</v>
      </c>
      <c r="B492" s="265"/>
      <c r="C492" s="386"/>
      <c r="D492" s="387"/>
      <c r="E492" s="264"/>
      <c r="F492" s="375"/>
      <c r="G492" s="376"/>
      <c r="H492" s="264"/>
    </row>
    <row r="493" spans="1:8" ht="45" customHeight="1" x14ac:dyDescent="0.25">
      <c r="A493" s="136">
        <f t="shared" si="7"/>
        <v>481</v>
      </c>
      <c r="B493" s="265"/>
      <c r="C493" s="386"/>
      <c r="D493" s="387"/>
      <c r="E493" s="264"/>
      <c r="F493" s="375"/>
      <c r="G493" s="376"/>
      <c r="H493" s="264"/>
    </row>
    <row r="494" spans="1:8" ht="45" customHeight="1" x14ac:dyDescent="0.25">
      <c r="A494" s="136">
        <f t="shared" si="7"/>
        <v>482</v>
      </c>
      <c r="B494" s="265"/>
      <c r="C494" s="386"/>
      <c r="D494" s="387"/>
      <c r="E494" s="264"/>
      <c r="F494" s="375"/>
      <c r="G494" s="376"/>
      <c r="H494" s="264"/>
    </row>
    <row r="495" spans="1:8" ht="45" customHeight="1" x14ac:dyDescent="0.25">
      <c r="A495" s="136">
        <f t="shared" si="7"/>
        <v>483</v>
      </c>
      <c r="B495" s="265"/>
      <c r="C495" s="386"/>
      <c r="D495" s="387"/>
      <c r="E495" s="264"/>
      <c r="F495" s="375"/>
      <c r="G495" s="376"/>
      <c r="H495" s="264"/>
    </row>
    <row r="496" spans="1:8" ht="45" customHeight="1" x14ac:dyDescent="0.25">
      <c r="A496" s="136">
        <f t="shared" si="7"/>
        <v>484</v>
      </c>
      <c r="B496" s="265"/>
      <c r="C496" s="386"/>
      <c r="D496" s="387"/>
      <c r="E496" s="264"/>
      <c r="F496" s="375"/>
      <c r="G496" s="376"/>
      <c r="H496" s="264"/>
    </row>
    <row r="497" spans="1:8" ht="45" customHeight="1" x14ac:dyDescent="0.25">
      <c r="A497" s="136">
        <f t="shared" si="7"/>
        <v>485</v>
      </c>
      <c r="B497" s="265"/>
      <c r="C497" s="386"/>
      <c r="D497" s="387"/>
      <c r="E497" s="264"/>
      <c r="F497" s="375"/>
      <c r="G497" s="376"/>
      <c r="H497" s="264"/>
    </row>
    <row r="498" spans="1:8" ht="45" customHeight="1" x14ac:dyDescent="0.25">
      <c r="A498" s="136">
        <f t="shared" si="7"/>
        <v>486</v>
      </c>
      <c r="B498" s="265"/>
      <c r="C498" s="386"/>
      <c r="D498" s="387"/>
      <c r="E498" s="264"/>
      <c r="F498" s="375"/>
      <c r="G498" s="376"/>
      <c r="H498" s="264"/>
    </row>
    <row r="499" spans="1:8" ht="45" customHeight="1" x14ac:dyDescent="0.25">
      <c r="A499" s="136">
        <f t="shared" si="7"/>
        <v>487</v>
      </c>
      <c r="B499" s="265"/>
      <c r="C499" s="386"/>
      <c r="D499" s="387"/>
      <c r="E499" s="264"/>
      <c r="F499" s="375"/>
      <c r="G499" s="376"/>
      <c r="H499" s="264"/>
    </row>
    <row r="500" spans="1:8" ht="45" customHeight="1" x14ac:dyDescent="0.25">
      <c r="A500" s="136">
        <f t="shared" si="7"/>
        <v>488</v>
      </c>
      <c r="B500" s="265"/>
      <c r="C500" s="386"/>
      <c r="D500" s="387"/>
      <c r="E500" s="264"/>
      <c r="F500" s="375"/>
      <c r="G500" s="376"/>
      <c r="H500" s="264"/>
    </row>
    <row r="501" spans="1:8" ht="45" customHeight="1" x14ac:dyDescent="0.25">
      <c r="A501" s="136">
        <f t="shared" si="7"/>
        <v>489</v>
      </c>
      <c r="B501" s="265"/>
      <c r="C501" s="386"/>
      <c r="D501" s="387"/>
      <c r="E501" s="264"/>
      <c r="F501" s="375"/>
      <c r="G501" s="376"/>
      <c r="H501" s="264"/>
    </row>
    <row r="502" spans="1:8" ht="45" customHeight="1" x14ac:dyDescent="0.25">
      <c r="A502" s="136">
        <f t="shared" si="7"/>
        <v>490</v>
      </c>
      <c r="B502" s="265"/>
      <c r="C502" s="386"/>
      <c r="D502" s="387"/>
      <c r="E502" s="264"/>
      <c r="F502" s="375"/>
      <c r="G502" s="376"/>
      <c r="H502" s="264"/>
    </row>
    <row r="503" spans="1:8" ht="45" customHeight="1" x14ac:dyDescent="0.25">
      <c r="A503" s="136">
        <f t="shared" si="7"/>
        <v>491</v>
      </c>
      <c r="B503" s="265"/>
      <c r="C503" s="386"/>
      <c r="D503" s="387"/>
      <c r="E503" s="264"/>
      <c r="F503" s="375"/>
      <c r="G503" s="376"/>
      <c r="H503" s="264"/>
    </row>
    <row r="504" spans="1:8" ht="45" customHeight="1" x14ac:dyDescent="0.25">
      <c r="A504" s="136">
        <f t="shared" si="7"/>
        <v>492</v>
      </c>
      <c r="B504" s="265"/>
      <c r="C504" s="386"/>
      <c r="D504" s="387"/>
      <c r="E504" s="264"/>
      <c r="F504" s="375"/>
      <c r="G504" s="376"/>
      <c r="H504" s="264"/>
    </row>
    <row r="505" spans="1:8" ht="45" customHeight="1" x14ac:dyDescent="0.25">
      <c r="A505" s="136">
        <f t="shared" si="7"/>
        <v>493</v>
      </c>
      <c r="B505" s="265"/>
      <c r="C505" s="386"/>
      <c r="D505" s="387"/>
      <c r="E505" s="264"/>
      <c r="F505" s="375"/>
      <c r="G505" s="376"/>
      <c r="H505" s="264"/>
    </row>
    <row r="506" spans="1:8" ht="45" customHeight="1" x14ac:dyDescent="0.25">
      <c r="A506" s="136">
        <f t="shared" si="7"/>
        <v>494</v>
      </c>
      <c r="B506" s="265"/>
      <c r="C506" s="386"/>
      <c r="D506" s="387"/>
      <c r="E506" s="264"/>
      <c r="F506" s="375"/>
      <c r="G506" s="376"/>
      <c r="H506" s="264"/>
    </row>
    <row r="507" spans="1:8" ht="45" customHeight="1" x14ac:dyDescent="0.25">
      <c r="A507" s="136">
        <f t="shared" si="7"/>
        <v>495</v>
      </c>
      <c r="B507" s="265"/>
      <c r="C507" s="386"/>
      <c r="D507" s="387"/>
      <c r="E507" s="264"/>
      <c r="F507" s="375"/>
      <c r="G507" s="376"/>
      <c r="H507" s="264"/>
    </row>
    <row r="508" spans="1:8" ht="45" customHeight="1" x14ac:dyDescent="0.25">
      <c r="A508" s="136">
        <f t="shared" si="7"/>
        <v>496</v>
      </c>
      <c r="B508" s="265"/>
      <c r="C508" s="386"/>
      <c r="D508" s="387"/>
      <c r="E508" s="264"/>
      <c r="F508" s="375"/>
      <c r="G508" s="376"/>
      <c r="H508" s="264"/>
    </row>
    <row r="509" spans="1:8" ht="45" customHeight="1" x14ac:dyDescent="0.25">
      <c r="A509" s="136">
        <f t="shared" si="7"/>
        <v>497</v>
      </c>
      <c r="B509" s="265"/>
      <c r="C509" s="386"/>
      <c r="D509" s="387"/>
      <c r="E509" s="264"/>
      <c r="F509" s="375"/>
      <c r="G509" s="376"/>
      <c r="H509" s="264"/>
    </row>
    <row r="510" spans="1:8" ht="45" customHeight="1" x14ac:dyDescent="0.25">
      <c r="A510" s="136">
        <f t="shared" si="7"/>
        <v>498</v>
      </c>
      <c r="B510" s="265"/>
      <c r="C510" s="386"/>
      <c r="D510" s="387"/>
      <c r="E510" s="264"/>
      <c r="F510" s="375"/>
      <c r="G510" s="376"/>
      <c r="H510" s="264"/>
    </row>
    <row r="511" spans="1:8" ht="45" customHeight="1" x14ac:dyDescent="0.25">
      <c r="A511" s="136">
        <f t="shared" si="7"/>
        <v>499</v>
      </c>
      <c r="B511" s="265"/>
      <c r="C511" s="386"/>
      <c r="D511" s="387"/>
      <c r="E511" s="264"/>
      <c r="F511" s="375"/>
      <c r="G511" s="376"/>
      <c r="H511" s="264"/>
    </row>
    <row r="512" spans="1:8" ht="45" customHeight="1" x14ac:dyDescent="0.25">
      <c r="A512" s="136">
        <f t="shared" si="7"/>
        <v>500</v>
      </c>
      <c r="B512" s="265"/>
      <c r="C512" s="386"/>
      <c r="D512" s="387"/>
      <c r="E512" s="264"/>
      <c r="F512" s="375"/>
      <c r="G512" s="376"/>
      <c r="H512" s="264"/>
    </row>
    <row r="513" spans="1:8" ht="45" customHeight="1" x14ac:dyDescent="0.25">
      <c r="A513" s="136">
        <f t="shared" si="7"/>
        <v>501</v>
      </c>
      <c r="B513" s="265"/>
      <c r="C513" s="386"/>
      <c r="D513" s="387"/>
      <c r="E513" s="264"/>
      <c r="F513" s="375"/>
      <c r="G513" s="376"/>
      <c r="H513" s="264"/>
    </row>
    <row r="514" spans="1:8" ht="45" customHeight="1" x14ac:dyDescent="0.25">
      <c r="A514" s="136">
        <f t="shared" si="7"/>
        <v>502</v>
      </c>
      <c r="B514" s="265"/>
      <c r="C514" s="386"/>
      <c r="D514" s="387"/>
      <c r="E514" s="264"/>
      <c r="F514" s="375"/>
      <c r="G514" s="376"/>
      <c r="H514" s="264"/>
    </row>
    <row r="515" spans="1:8" ht="45" customHeight="1" x14ac:dyDescent="0.25">
      <c r="A515" s="136">
        <f t="shared" si="7"/>
        <v>503</v>
      </c>
      <c r="B515" s="265"/>
      <c r="C515" s="386"/>
      <c r="D515" s="387"/>
      <c r="E515" s="264"/>
      <c r="F515" s="375"/>
      <c r="G515" s="376"/>
      <c r="H515" s="264"/>
    </row>
    <row r="516" spans="1:8" ht="45" customHeight="1" x14ac:dyDescent="0.25">
      <c r="A516" s="136">
        <f t="shared" si="7"/>
        <v>504</v>
      </c>
      <c r="B516" s="265"/>
      <c r="C516" s="386"/>
      <c r="D516" s="387"/>
      <c r="E516" s="264"/>
      <c r="F516" s="375"/>
      <c r="G516" s="376"/>
      <c r="H516" s="264"/>
    </row>
    <row r="517" spans="1:8" ht="45" customHeight="1" x14ac:dyDescent="0.25">
      <c r="A517" s="136">
        <f t="shared" si="7"/>
        <v>505</v>
      </c>
      <c r="B517" s="265"/>
      <c r="C517" s="386"/>
      <c r="D517" s="387"/>
      <c r="E517" s="264"/>
      <c r="F517" s="375"/>
      <c r="G517" s="376"/>
      <c r="H517" s="264"/>
    </row>
    <row r="518" spans="1:8" ht="45" customHeight="1" x14ac:dyDescent="0.25">
      <c r="A518" s="136">
        <f t="shared" si="7"/>
        <v>506</v>
      </c>
      <c r="B518" s="265"/>
      <c r="C518" s="386"/>
      <c r="D518" s="387"/>
      <c r="E518" s="264"/>
      <c r="F518" s="375"/>
      <c r="G518" s="376"/>
      <c r="H518" s="264"/>
    </row>
    <row r="519" spans="1:8" ht="45" customHeight="1" x14ac:dyDescent="0.25">
      <c r="A519" s="136">
        <f t="shared" si="7"/>
        <v>507</v>
      </c>
      <c r="B519" s="265"/>
      <c r="C519" s="386"/>
      <c r="D519" s="387"/>
      <c r="E519" s="264"/>
      <c r="F519" s="375"/>
      <c r="G519" s="376"/>
      <c r="H519" s="264"/>
    </row>
    <row r="520" spans="1:8" ht="45" customHeight="1" x14ac:dyDescent="0.25">
      <c r="A520" s="136">
        <f t="shared" si="7"/>
        <v>508</v>
      </c>
      <c r="B520" s="265"/>
      <c r="C520" s="386"/>
      <c r="D520" s="387"/>
      <c r="E520" s="264"/>
      <c r="F520" s="375"/>
      <c r="G520" s="376"/>
      <c r="H520" s="264"/>
    </row>
    <row r="521" spans="1:8" ht="45" customHeight="1" x14ac:dyDescent="0.25">
      <c r="A521" s="136">
        <f t="shared" si="7"/>
        <v>509</v>
      </c>
      <c r="B521" s="265"/>
      <c r="C521" s="386"/>
      <c r="D521" s="387"/>
      <c r="E521" s="264"/>
      <c r="F521" s="375"/>
      <c r="G521" s="376"/>
      <c r="H521" s="264"/>
    </row>
    <row r="522" spans="1:8" ht="45" customHeight="1" x14ac:dyDescent="0.25">
      <c r="A522" s="136">
        <f t="shared" si="7"/>
        <v>510</v>
      </c>
      <c r="B522" s="265"/>
      <c r="C522" s="386"/>
      <c r="D522" s="387"/>
      <c r="E522" s="264"/>
      <c r="F522" s="375"/>
      <c r="G522" s="376"/>
      <c r="H522" s="264"/>
    </row>
    <row r="523" spans="1:8" ht="45" customHeight="1" x14ac:dyDescent="0.25">
      <c r="A523" s="136">
        <f t="shared" si="7"/>
        <v>511</v>
      </c>
      <c r="B523" s="265"/>
      <c r="C523" s="386"/>
      <c r="D523" s="387"/>
      <c r="E523" s="264"/>
      <c r="F523" s="375"/>
      <c r="G523" s="376"/>
      <c r="H523" s="264"/>
    </row>
    <row r="524" spans="1:8" ht="45" customHeight="1" x14ac:dyDescent="0.25">
      <c r="A524" s="136">
        <f t="shared" si="7"/>
        <v>512</v>
      </c>
      <c r="B524" s="265"/>
      <c r="C524" s="386"/>
      <c r="D524" s="387"/>
      <c r="E524" s="264"/>
      <c r="F524" s="375"/>
      <c r="G524" s="376"/>
      <c r="H524" s="264"/>
    </row>
    <row r="525" spans="1:8" ht="45" customHeight="1" x14ac:dyDescent="0.25">
      <c r="A525" s="136">
        <f t="shared" si="7"/>
        <v>513</v>
      </c>
      <c r="B525" s="265"/>
      <c r="C525" s="386"/>
      <c r="D525" s="387"/>
      <c r="E525" s="264"/>
      <c r="F525" s="375"/>
      <c r="G525" s="376"/>
      <c r="H525" s="264"/>
    </row>
    <row r="526" spans="1:8" ht="45" customHeight="1" x14ac:dyDescent="0.25">
      <c r="A526" s="136">
        <f t="shared" ref="A526:A589" si="8">ROW(A514)</f>
        <v>514</v>
      </c>
      <c r="B526" s="265"/>
      <c r="C526" s="386"/>
      <c r="D526" s="387"/>
      <c r="E526" s="264"/>
      <c r="F526" s="375"/>
      <c r="G526" s="376"/>
      <c r="H526" s="264"/>
    </row>
    <row r="527" spans="1:8" ht="45" customHeight="1" x14ac:dyDescent="0.25">
      <c r="A527" s="136">
        <f t="shared" si="8"/>
        <v>515</v>
      </c>
      <c r="B527" s="265"/>
      <c r="C527" s="386"/>
      <c r="D527" s="387"/>
      <c r="E527" s="264"/>
      <c r="F527" s="375"/>
      <c r="G527" s="376"/>
      <c r="H527" s="264"/>
    </row>
    <row r="528" spans="1:8" ht="45" customHeight="1" x14ac:dyDescent="0.25">
      <c r="A528" s="136">
        <f t="shared" si="8"/>
        <v>516</v>
      </c>
      <c r="B528" s="265"/>
      <c r="C528" s="386"/>
      <c r="D528" s="387"/>
      <c r="E528" s="264"/>
      <c r="F528" s="375"/>
      <c r="G528" s="376"/>
      <c r="H528" s="264"/>
    </row>
    <row r="529" spans="1:8" ht="45" customHeight="1" x14ac:dyDescent="0.25">
      <c r="A529" s="136">
        <f t="shared" si="8"/>
        <v>517</v>
      </c>
      <c r="B529" s="265"/>
      <c r="C529" s="386"/>
      <c r="D529" s="387"/>
      <c r="E529" s="264"/>
      <c r="F529" s="375"/>
      <c r="G529" s="376"/>
      <c r="H529" s="264"/>
    </row>
    <row r="530" spans="1:8" ht="45" customHeight="1" x14ac:dyDescent="0.25">
      <c r="A530" s="136">
        <f t="shared" si="8"/>
        <v>518</v>
      </c>
      <c r="B530" s="265"/>
      <c r="C530" s="386"/>
      <c r="D530" s="387"/>
      <c r="E530" s="264"/>
      <c r="F530" s="375"/>
      <c r="G530" s="376"/>
      <c r="H530" s="264"/>
    </row>
    <row r="531" spans="1:8" ht="45" customHeight="1" x14ac:dyDescent="0.25">
      <c r="A531" s="136">
        <f t="shared" si="8"/>
        <v>519</v>
      </c>
      <c r="B531" s="265"/>
      <c r="C531" s="386"/>
      <c r="D531" s="387"/>
      <c r="E531" s="264"/>
      <c r="F531" s="375"/>
      <c r="G531" s="376"/>
      <c r="H531" s="264"/>
    </row>
    <row r="532" spans="1:8" ht="45" customHeight="1" x14ac:dyDescent="0.25">
      <c r="A532" s="136">
        <f t="shared" si="8"/>
        <v>520</v>
      </c>
      <c r="B532" s="265"/>
      <c r="C532" s="386"/>
      <c r="D532" s="387"/>
      <c r="E532" s="264"/>
      <c r="F532" s="375"/>
      <c r="G532" s="376"/>
      <c r="H532" s="264"/>
    </row>
    <row r="533" spans="1:8" ht="45" customHeight="1" x14ac:dyDescent="0.25">
      <c r="A533" s="136">
        <f t="shared" si="8"/>
        <v>521</v>
      </c>
      <c r="B533" s="265"/>
      <c r="C533" s="386"/>
      <c r="D533" s="387"/>
      <c r="E533" s="264"/>
      <c r="F533" s="375"/>
      <c r="G533" s="376"/>
      <c r="H533" s="264"/>
    </row>
    <row r="534" spans="1:8" ht="45" customHeight="1" x14ac:dyDescent="0.25">
      <c r="A534" s="136">
        <f t="shared" si="8"/>
        <v>522</v>
      </c>
      <c r="B534" s="265"/>
      <c r="C534" s="386"/>
      <c r="D534" s="387"/>
      <c r="E534" s="264"/>
      <c r="F534" s="375"/>
      <c r="G534" s="376"/>
      <c r="H534" s="264"/>
    </row>
    <row r="535" spans="1:8" ht="45" customHeight="1" x14ac:dyDescent="0.25">
      <c r="A535" s="136">
        <f t="shared" si="8"/>
        <v>523</v>
      </c>
      <c r="B535" s="265"/>
      <c r="C535" s="386"/>
      <c r="D535" s="387"/>
      <c r="E535" s="264"/>
      <c r="F535" s="375"/>
      <c r="G535" s="376"/>
      <c r="H535" s="264"/>
    </row>
    <row r="536" spans="1:8" ht="45" customHeight="1" x14ac:dyDescent="0.25">
      <c r="A536" s="136">
        <f t="shared" si="8"/>
        <v>524</v>
      </c>
      <c r="B536" s="265"/>
      <c r="C536" s="386"/>
      <c r="D536" s="387"/>
      <c r="E536" s="264"/>
      <c r="F536" s="375"/>
      <c r="G536" s="376"/>
      <c r="H536" s="264"/>
    </row>
    <row r="537" spans="1:8" ht="45" customHeight="1" x14ac:dyDescent="0.25">
      <c r="A537" s="136">
        <f t="shared" si="8"/>
        <v>525</v>
      </c>
      <c r="B537" s="265"/>
      <c r="C537" s="386"/>
      <c r="D537" s="387"/>
      <c r="E537" s="264"/>
      <c r="F537" s="375"/>
      <c r="G537" s="376"/>
      <c r="H537" s="264"/>
    </row>
    <row r="538" spans="1:8" ht="45" customHeight="1" x14ac:dyDescent="0.25">
      <c r="A538" s="136">
        <f t="shared" si="8"/>
        <v>526</v>
      </c>
      <c r="B538" s="265"/>
      <c r="C538" s="386"/>
      <c r="D538" s="387"/>
      <c r="E538" s="264"/>
      <c r="F538" s="375"/>
      <c r="G538" s="376"/>
      <c r="H538" s="264"/>
    </row>
    <row r="539" spans="1:8" ht="45" customHeight="1" x14ac:dyDescent="0.25">
      <c r="A539" s="136">
        <f t="shared" si="8"/>
        <v>527</v>
      </c>
      <c r="B539" s="265"/>
      <c r="C539" s="386"/>
      <c r="D539" s="387"/>
      <c r="E539" s="264"/>
      <c r="F539" s="375"/>
      <c r="G539" s="376"/>
      <c r="H539" s="264"/>
    </row>
    <row r="540" spans="1:8" ht="45" customHeight="1" x14ac:dyDescent="0.25">
      <c r="A540" s="136">
        <f t="shared" si="8"/>
        <v>528</v>
      </c>
      <c r="B540" s="265"/>
      <c r="C540" s="386"/>
      <c r="D540" s="387"/>
      <c r="E540" s="264"/>
      <c r="F540" s="375"/>
      <c r="G540" s="376"/>
      <c r="H540" s="264"/>
    </row>
    <row r="541" spans="1:8" ht="45" customHeight="1" x14ac:dyDescent="0.25">
      <c r="A541" s="136">
        <f t="shared" si="8"/>
        <v>529</v>
      </c>
      <c r="B541" s="265"/>
      <c r="C541" s="386"/>
      <c r="D541" s="387"/>
      <c r="E541" s="264"/>
      <c r="F541" s="375"/>
      <c r="G541" s="376"/>
      <c r="H541" s="264"/>
    </row>
    <row r="542" spans="1:8" ht="45" customHeight="1" x14ac:dyDescent="0.25">
      <c r="A542" s="136">
        <f t="shared" si="8"/>
        <v>530</v>
      </c>
      <c r="B542" s="265"/>
      <c r="C542" s="386"/>
      <c r="D542" s="387"/>
      <c r="E542" s="264"/>
      <c r="F542" s="375"/>
      <c r="G542" s="376"/>
      <c r="H542" s="264"/>
    </row>
    <row r="543" spans="1:8" ht="45" customHeight="1" x14ac:dyDescent="0.25">
      <c r="A543" s="136">
        <f t="shared" si="8"/>
        <v>531</v>
      </c>
      <c r="B543" s="265"/>
      <c r="C543" s="386"/>
      <c r="D543" s="387"/>
      <c r="E543" s="264"/>
      <c r="F543" s="375"/>
      <c r="G543" s="376"/>
      <c r="H543" s="264"/>
    </row>
    <row r="544" spans="1:8" ht="45" customHeight="1" x14ac:dyDescent="0.25">
      <c r="A544" s="136">
        <f t="shared" si="8"/>
        <v>532</v>
      </c>
      <c r="B544" s="265"/>
      <c r="C544" s="386"/>
      <c r="D544" s="387"/>
      <c r="E544" s="264"/>
      <c r="F544" s="375"/>
      <c r="G544" s="376"/>
      <c r="H544" s="264"/>
    </row>
    <row r="545" spans="1:8" ht="45" customHeight="1" x14ac:dyDescent="0.25">
      <c r="A545" s="136">
        <f t="shared" si="8"/>
        <v>533</v>
      </c>
      <c r="B545" s="265"/>
      <c r="C545" s="386"/>
      <c r="D545" s="387"/>
      <c r="E545" s="264"/>
      <c r="F545" s="375"/>
      <c r="G545" s="376"/>
      <c r="H545" s="264"/>
    </row>
    <row r="546" spans="1:8" ht="45" customHeight="1" x14ac:dyDescent="0.25">
      <c r="A546" s="136">
        <f t="shared" si="8"/>
        <v>534</v>
      </c>
      <c r="B546" s="265"/>
      <c r="C546" s="386"/>
      <c r="D546" s="387"/>
      <c r="E546" s="264"/>
      <c r="F546" s="375"/>
      <c r="G546" s="376"/>
      <c r="H546" s="264"/>
    </row>
    <row r="547" spans="1:8" ht="45" customHeight="1" x14ac:dyDescent="0.25">
      <c r="A547" s="136">
        <f t="shared" si="8"/>
        <v>535</v>
      </c>
      <c r="B547" s="265"/>
      <c r="C547" s="386"/>
      <c r="D547" s="387"/>
      <c r="E547" s="264"/>
      <c r="F547" s="375"/>
      <c r="G547" s="376"/>
      <c r="H547" s="264"/>
    </row>
    <row r="548" spans="1:8" ht="45" customHeight="1" x14ac:dyDescent="0.25">
      <c r="A548" s="136">
        <f t="shared" si="8"/>
        <v>536</v>
      </c>
      <c r="B548" s="265"/>
      <c r="C548" s="386"/>
      <c r="D548" s="387"/>
      <c r="E548" s="264"/>
      <c r="F548" s="375"/>
      <c r="G548" s="376"/>
      <c r="H548" s="264"/>
    </row>
    <row r="549" spans="1:8" ht="45" customHeight="1" x14ac:dyDescent="0.25">
      <c r="A549" s="136">
        <f t="shared" si="8"/>
        <v>537</v>
      </c>
      <c r="B549" s="265"/>
      <c r="C549" s="386"/>
      <c r="D549" s="387"/>
      <c r="E549" s="264"/>
      <c r="F549" s="375"/>
      <c r="G549" s="376"/>
      <c r="H549" s="264"/>
    </row>
    <row r="550" spans="1:8" ht="45" customHeight="1" x14ac:dyDescent="0.25">
      <c r="A550" s="136">
        <f t="shared" si="8"/>
        <v>538</v>
      </c>
      <c r="B550" s="265"/>
      <c r="C550" s="386"/>
      <c r="D550" s="387"/>
      <c r="E550" s="264"/>
      <c r="F550" s="375"/>
      <c r="G550" s="376"/>
      <c r="H550" s="264"/>
    </row>
    <row r="551" spans="1:8" ht="45" customHeight="1" x14ac:dyDescent="0.25">
      <c r="A551" s="136">
        <f t="shared" si="8"/>
        <v>539</v>
      </c>
      <c r="B551" s="265"/>
      <c r="C551" s="386"/>
      <c r="D551" s="387"/>
      <c r="E551" s="264"/>
      <c r="F551" s="375"/>
      <c r="G551" s="376"/>
      <c r="H551" s="264"/>
    </row>
    <row r="552" spans="1:8" ht="45" customHeight="1" x14ac:dyDescent="0.25">
      <c r="A552" s="136">
        <f t="shared" si="8"/>
        <v>540</v>
      </c>
      <c r="B552" s="265"/>
      <c r="C552" s="386"/>
      <c r="D552" s="387"/>
      <c r="E552" s="264"/>
      <c r="F552" s="375"/>
      <c r="G552" s="376"/>
      <c r="H552" s="264"/>
    </row>
    <row r="553" spans="1:8" ht="45" customHeight="1" x14ac:dyDescent="0.25">
      <c r="A553" s="136">
        <f t="shared" si="8"/>
        <v>541</v>
      </c>
      <c r="B553" s="265"/>
      <c r="C553" s="386"/>
      <c r="D553" s="387"/>
      <c r="E553" s="264"/>
      <c r="F553" s="375"/>
      <c r="G553" s="376"/>
      <c r="H553" s="264"/>
    </row>
    <row r="554" spans="1:8" ht="45" customHeight="1" x14ac:dyDescent="0.25">
      <c r="A554" s="136">
        <f t="shared" si="8"/>
        <v>542</v>
      </c>
      <c r="B554" s="265"/>
      <c r="C554" s="386"/>
      <c r="D554" s="387"/>
      <c r="E554" s="264"/>
      <c r="F554" s="375"/>
      <c r="G554" s="376"/>
      <c r="H554" s="264"/>
    </row>
    <row r="555" spans="1:8" ht="45" customHeight="1" x14ac:dyDescent="0.25">
      <c r="A555" s="136">
        <f t="shared" si="8"/>
        <v>543</v>
      </c>
      <c r="B555" s="265"/>
      <c r="C555" s="386"/>
      <c r="D555" s="387"/>
      <c r="E555" s="264"/>
      <c r="F555" s="375"/>
      <c r="G555" s="376"/>
      <c r="H555" s="264"/>
    </row>
    <row r="556" spans="1:8" ht="45" customHeight="1" x14ac:dyDescent="0.25">
      <c r="A556" s="136">
        <f t="shared" si="8"/>
        <v>544</v>
      </c>
      <c r="B556" s="265"/>
      <c r="C556" s="386"/>
      <c r="D556" s="387"/>
      <c r="E556" s="264"/>
      <c r="F556" s="375"/>
      <c r="G556" s="376"/>
      <c r="H556" s="264"/>
    </row>
    <row r="557" spans="1:8" ht="45" customHeight="1" x14ac:dyDescent="0.25">
      <c r="A557" s="136">
        <f t="shared" si="8"/>
        <v>545</v>
      </c>
      <c r="B557" s="265"/>
      <c r="C557" s="386"/>
      <c r="D557" s="387"/>
      <c r="E557" s="264"/>
      <c r="F557" s="375"/>
      <c r="G557" s="376"/>
      <c r="H557" s="264"/>
    </row>
    <row r="558" spans="1:8" ht="45" customHeight="1" x14ac:dyDescent="0.25">
      <c r="A558" s="136">
        <f t="shared" si="8"/>
        <v>546</v>
      </c>
      <c r="B558" s="265"/>
      <c r="C558" s="386"/>
      <c r="D558" s="387"/>
      <c r="E558" s="264"/>
      <c r="F558" s="375"/>
      <c r="G558" s="376"/>
      <c r="H558" s="264"/>
    </row>
    <row r="559" spans="1:8" ht="45" customHeight="1" x14ac:dyDescent="0.25">
      <c r="A559" s="136">
        <f t="shared" si="8"/>
        <v>547</v>
      </c>
      <c r="B559" s="265"/>
      <c r="C559" s="386"/>
      <c r="D559" s="387"/>
      <c r="E559" s="264"/>
      <c r="F559" s="375"/>
      <c r="G559" s="376"/>
      <c r="H559" s="264"/>
    </row>
    <row r="560" spans="1:8" ht="45" customHeight="1" x14ac:dyDescent="0.25">
      <c r="A560" s="136">
        <f t="shared" si="8"/>
        <v>548</v>
      </c>
      <c r="B560" s="265"/>
      <c r="C560" s="386"/>
      <c r="D560" s="387"/>
      <c r="E560" s="264"/>
      <c r="F560" s="375"/>
      <c r="G560" s="376"/>
      <c r="H560" s="264"/>
    </row>
    <row r="561" spans="1:8" ht="45" customHeight="1" x14ac:dyDescent="0.25">
      <c r="A561" s="136">
        <f t="shared" si="8"/>
        <v>549</v>
      </c>
      <c r="B561" s="265"/>
      <c r="C561" s="386"/>
      <c r="D561" s="387"/>
      <c r="E561" s="264"/>
      <c r="F561" s="375"/>
      <c r="G561" s="376"/>
      <c r="H561" s="264"/>
    </row>
    <row r="562" spans="1:8" ht="45" customHeight="1" x14ac:dyDescent="0.25">
      <c r="A562" s="136">
        <f t="shared" si="8"/>
        <v>550</v>
      </c>
      <c r="B562" s="265"/>
      <c r="C562" s="386"/>
      <c r="D562" s="387"/>
      <c r="E562" s="264"/>
      <c r="F562" s="375"/>
      <c r="G562" s="376"/>
      <c r="H562" s="264"/>
    </row>
    <row r="563" spans="1:8" ht="45" customHeight="1" x14ac:dyDescent="0.25">
      <c r="A563" s="136">
        <f t="shared" si="8"/>
        <v>551</v>
      </c>
      <c r="B563" s="265"/>
      <c r="C563" s="386"/>
      <c r="D563" s="387"/>
      <c r="E563" s="264"/>
      <c r="F563" s="375"/>
      <c r="G563" s="376"/>
      <c r="H563" s="264"/>
    </row>
    <row r="564" spans="1:8" ht="45" customHeight="1" x14ac:dyDescent="0.25">
      <c r="A564" s="136">
        <f t="shared" si="8"/>
        <v>552</v>
      </c>
      <c r="B564" s="265"/>
      <c r="C564" s="386"/>
      <c r="D564" s="387"/>
      <c r="E564" s="264"/>
      <c r="F564" s="375"/>
      <c r="G564" s="376"/>
      <c r="H564" s="264"/>
    </row>
    <row r="565" spans="1:8" ht="45" customHeight="1" x14ac:dyDescent="0.25">
      <c r="A565" s="136">
        <f t="shared" si="8"/>
        <v>553</v>
      </c>
      <c r="B565" s="265"/>
      <c r="C565" s="386"/>
      <c r="D565" s="387"/>
      <c r="E565" s="264"/>
      <c r="F565" s="375"/>
      <c r="G565" s="376"/>
      <c r="H565" s="264"/>
    </row>
    <row r="566" spans="1:8" ht="45" customHeight="1" x14ac:dyDescent="0.25">
      <c r="A566" s="136">
        <f t="shared" si="8"/>
        <v>554</v>
      </c>
      <c r="B566" s="265"/>
      <c r="C566" s="386"/>
      <c r="D566" s="387"/>
      <c r="E566" s="264"/>
      <c r="F566" s="375"/>
      <c r="G566" s="376"/>
      <c r="H566" s="264"/>
    </row>
    <row r="567" spans="1:8" ht="45" customHeight="1" x14ac:dyDescent="0.25">
      <c r="A567" s="136">
        <f t="shared" si="8"/>
        <v>555</v>
      </c>
      <c r="B567" s="265"/>
      <c r="C567" s="386"/>
      <c r="D567" s="387"/>
      <c r="E567" s="264"/>
      <c r="F567" s="375"/>
      <c r="G567" s="376"/>
      <c r="H567" s="264"/>
    </row>
    <row r="568" spans="1:8" ht="45" customHeight="1" x14ac:dyDescent="0.25">
      <c r="A568" s="136">
        <f t="shared" si="8"/>
        <v>556</v>
      </c>
      <c r="B568" s="265"/>
      <c r="C568" s="386"/>
      <c r="D568" s="387"/>
      <c r="E568" s="264"/>
      <c r="F568" s="375"/>
      <c r="G568" s="376"/>
      <c r="H568" s="264"/>
    </row>
    <row r="569" spans="1:8" ht="45" customHeight="1" x14ac:dyDescent="0.25">
      <c r="A569" s="136">
        <f t="shared" si="8"/>
        <v>557</v>
      </c>
      <c r="B569" s="265"/>
      <c r="C569" s="386"/>
      <c r="D569" s="387"/>
      <c r="E569" s="264"/>
      <c r="F569" s="375"/>
      <c r="G569" s="376"/>
      <c r="H569" s="264"/>
    </row>
    <row r="570" spans="1:8" ht="45" customHeight="1" x14ac:dyDescent="0.25">
      <c r="A570" s="136">
        <f t="shared" si="8"/>
        <v>558</v>
      </c>
      <c r="B570" s="265"/>
      <c r="C570" s="386"/>
      <c r="D570" s="387"/>
      <c r="E570" s="264"/>
      <c r="F570" s="375"/>
      <c r="G570" s="376"/>
      <c r="H570" s="264"/>
    </row>
    <row r="571" spans="1:8" ht="45" customHeight="1" x14ac:dyDescent="0.25">
      <c r="A571" s="136">
        <f t="shared" si="8"/>
        <v>559</v>
      </c>
      <c r="B571" s="265"/>
      <c r="C571" s="386"/>
      <c r="D571" s="387"/>
      <c r="E571" s="264"/>
      <c r="F571" s="375"/>
      <c r="G571" s="376"/>
      <c r="H571" s="264"/>
    </row>
    <row r="572" spans="1:8" ht="45" customHeight="1" x14ac:dyDescent="0.25">
      <c r="A572" s="136">
        <f t="shared" si="8"/>
        <v>560</v>
      </c>
      <c r="B572" s="265"/>
      <c r="C572" s="386"/>
      <c r="D572" s="387"/>
      <c r="E572" s="264"/>
      <c r="F572" s="375"/>
      <c r="G572" s="376"/>
      <c r="H572" s="264"/>
    </row>
    <row r="573" spans="1:8" ht="45" customHeight="1" x14ac:dyDescent="0.25">
      <c r="A573" s="136">
        <f t="shared" si="8"/>
        <v>561</v>
      </c>
      <c r="B573" s="265"/>
      <c r="C573" s="386"/>
      <c r="D573" s="387"/>
      <c r="E573" s="264"/>
      <c r="F573" s="375"/>
      <c r="G573" s="376"/>
      <c r="H573" s="264"/>
    </row>
    <row r="574" spans="1:8" ht="45" customHeight="1" x14ac:dyDescent="0.25">
      <c r="A574" s="136">
        <f t="shared" si="8"/>
        <v>562</v>
      </c>
      <c r="B574" s="265"/>
      <c r="C574" s="386"/>
      <c r="D574" s="387"/>
      <c r="E574" s="264"/>
      <c r="F574" s="375"/>
      <c r="G574" s="376"/>
      <c r="H574" s="264"/>
    </row>
    <row r="575" spans="1:8" ht="45" customHeight="1" x14ac:dyDescent="0.25">
      <c r="A575" s="136">
        <f t="shared" si="8"/>
        <v>563</v>
      </c>
      <c r="B575" s="265"/>
      <c r="C575" s="386"/>
      <c r="D575" s="387"/>
      <c r="E575" s="264"/>
      <c r="F575" s="375"/>
      <c r="G575" s="376"/>
      <c r="H575" s="264"/>
    </row>
    <row r="576" spans="1:8" ht="45" customHeight="1" x14ac:dyDescent="0.25">
      <c r="A576" s="136">
        <f t="shared" si="8"/>
        <v>564</v>
      </c>
      <c r="B576" s="265"/>
      <c r="C576" s="386"/>
      <c r="D576" s="387"/>
      <c r="E576" s="264"/>
      <c r="F576" s="375"/>
      <c r="G576" s="376"/>
      <c r="H576" s="264"/>
    </row>
    <row r="577" spans="1:8" ht="45" customHeight="1" x14ac:dyDescent="0.25">
      <c r="A577" s="136">
        <f t="shared" si="8"/>
        <v>565</v>
      </c>
      <c r="B577" s="265"/>
      <c r="C577" s="386"/>
      <c r="D577" s="387"/>
      <c r="E577" s="264"/>
      <c r="F577" s="375"/>
      <c r="G577" s="376"/>
      <c r="H577" s="264"/>
    </row>
    <row r="578" spans="1:8" ht="45" customHeight="1" x14ac:dyDescent="0.25">
      <c r="A578" s="136">
        <f t="shared" si="8"/>
        <v>566</v>
      </c>
      <c r="B578" s="265"/>
      <c r="C578" s="386"/>
      <c r="D578" s="387"/>
      <c r="E578" s="264"/>
      <c r="F578" s="375"/>
      <c r="G578" s="376"/>
      <c r="H578" s="264"/>
    </row>
    <row r="579" spans="1:8" ht="45" customHeight="1" x14ac:dyDescent="0.25">
      <c r="A579" s="136">
        <f t="shared" si="8"/>
        <v>567</v>
      </c>
      <c r="B579" s="265"/>
      <c r="C579" s="386"/>
      <c r="D579" s="387"/>
      <c r="E579" s="264"/>
      <c r="F579" s="375"/>
      <c r="G579" s="376"/>
      <c r="H579" s="264"/>
    </row>
    <row r="580" spans="1:8" ht="45" customHeight="1" x14ac:dyDescent="0.25">
      <c r="A580" s="136">
        <f t="shared" si="8"/>
        <v>568</v>
      </c>
      <c r="B580" s="265"/>
      <c r="C580" s="386"/>
      <c r="D580" s="387"/>
      <c r="E580" s="264"/>
      <c r="F580" s="375"/>
      <c r="G580" s="376"/>
      <c r="H580" s="264"/>
    </row>
    <row r="581" spans="1:8" ht="45" customHeight="1" x14ac:dyDescent="0.25">
      <c r="A581" s="136">
        <f t="shared" si="8"/>
        <v>569</v>
      </c>
      <c r="B581" s="265"/>
      <c r="C581" s="386"/>
      <c r="D581" s="387"/>
      <c r="E581" s="264"/>
      <c r="F581" s="375"/>
      <c r="G581" s="376"/>
      <c r="H581" s="264"/>
    </row>
    <row r="582" spans="1:8" ht="45" customHeight="1" x14ac:dyDescent="0.25">
      <c r="A582" s="136">
        <f t="shared" si="8"/>
        <v>570</v>
      </c>
      <c r="B582" s="265"/>
      <c r="C582" s="386"/>
      <c r="D582" s="387"/>
      <c r="E582" s="264"/>
      <c r="F582" s="375"/>
      <c r="G582" s="376"/>
      <c r="H582" s="264"/>
    </row>
    <row r="583" spans="1:8" ht="45" customHeight="1" x14ac:dyDescent="0.25">
      <c r="A583" s="136">
        <f t="shared" si="8"/>
        <v>571</v>
      </c>
      <c r="B583" s="265"/>
      <c r="C583" s="386"/>
      <c r="D583" s="387"/>
      <c r="E583" s="264"/>
      <c r="F583" s="375"/>
      <c r="G583" s="376"/>
      <c r="H583" s="264"/>
    </row>
    <row r="584" spans="1:8" ht="45" customHeight="1" x14ac:dyDescent="0.25">
      <c r="A584" s="136">
        <f t="shared" si="8"/>
        <v>572</v>
      </c>
      <c r="B584" s="265"/>
      <c r="C584" s="386"/>
      <c r="D584" s="387"/>
      <c r="E584" s="264"/>
      <c r="F584" s="375"/>
      <c r="G584" s="376"/>
      <c r="H584" s="264"/>
    </row>
    <row r="585" spans="1:8" ht="45" customHeight="1" x14ac:dyDescent="0.25">
      <c r="A585" s="136">
        <f t="shared" si="8"/>
        <v>573</v>
      </c>
      <c r="B585" s="265"/>
      <c r="C585" s="386"/>
      <c r="D585" s="387"/>
      <c r="E585" s="264"/>
      <c r="F585" s="375"/>
      <c r="G585" s="376"/>
      <c r="H585" s="264"/>
    </row>
    <row r="586" spans="1:8" ht="45" customHeight="1" x14ac:dyDescent="0.25">
      <c r="A586" s="136">
        <f t="shared" si="8"/>
        <v>574</v>
      </c>
      <c r="B586" s="265"/>
      <c r="C586" s="386"/>
      <c r="D586" s="387"/>
      <c r="E586" s="264"/>
      <c r="F586" s="375"/>
      <c r="G586" s="376"/>
      <c r="H586" s="264"/>
    </row>
    <row r="587" spans="1:8" ht="45" customHeight="1" x14ac:dyDescent="0.25">
      <c r="A587" s="136">
        <f t="shared" si="8"/>
        <v>575</v>
      </c>
      <c r="B587" s="265"/>
      <c r="C587" s="386"/>
      <c r="D587" s="387"/>
      <c r="E587" s="264"/>
      <c r="F587" s="375"/>
      <c r="G587" s="376"/>
      <c r="H587" s="264"/>
    </row>
    <row r="588" spans="1:8" ht="45" customHeight="1" x14ac:dyDescent="0.25">
      <c r="A588" s="136">
        <f t="shared" si="8"/>
        <v>576</v>
      </c>
      <c r="B588" s="265"/>
      <c r="C588" s="386"/>
      <c r="D588" s="387"/>
      <c r="E588" s="264"/>
      <c r="F588" s="375"/>
      <c r="G588" s="376"/>
      <c r="H588" s="264"/>
    </row>
    <row r="589" spans="1:8" ht="45" customHeight="1" x14ac:dyDescent="0.25">
      <c r="A589" s="136">
        <f t="shared" si="8"/>
        <v>577</v>
      </c>
      <c r="B589" s="265"/>
      <c r="C589" s="386"/>
      <c r="D589" s="387"/>
      <c r="E589" s="264"/>
      <c r="F589" s="375"/>
      <c r="G589" s="376"/>
      <c r="H589" s="264"/>
    </row>
    <row r="590" spans="1:8" ht="45" customHeight="1" x14ac:dyDescent="0.25">
      <c r="A590" s="136">
        <f t="shared" ref="A590:A653" si="9">ROW(A578)</f>
        <v>578</v>
      </c>
      <c r="B590" s="265"/>
      <c r="C590" s="386"/>
      <c r="D590" s="387"/>
      <c r="E590" s="264"/>
      <c r="F590" s="375"/>
      <c r="G590" s="376"/>
      <c r="H590" s="264"/>
    </row>
    <row r="591" spans="1:8" ht="45" customHeight="1" x14ac:dyDescent="0.25">
      <c r="A591" s="136">
        <f t="shared" si="9"/>
        <v>579</v>
      </c>
      <c r="B591" s="265"/>
      <c r="C591" s="386"/>
      <c r="D591" s="387"/>
      <c r="E591" s="264"/>
      <c r="F591" s="375"/>
      <c r="G591" s="376"/>
      <c r="H591" s="264"/>
    </row>
    <row r="592" spans="1:8" ht="45" customHeight="1" x14ac:dyDescent="0.25">
      <c r="A592" s="136">
        <f t="shared" si="9"/>
        <v>580</v>
      </c>
      <c r="B592" s="265"/>
      <c r="C592" s="386"/>
      <c r="D592" s="387"/>
      <c r="E592" s="264"/>
      <c r="F592" s="375"/>
      <c r="G592" s="376"/>
      <c r="H592" s="264"/>
    </row>
    <row r="593" spans="1:8" ht="45" customHeight="1" x14ac:dyDescent="0.25">
      <c r="A593" s="136">
        <f t="shared" si="9"/>
        <v>581</v>
      </c>
      <c r="B593" s="265"/>
      <c r="C593" s="386"/>
      <c r="D593" s="387"/>
      <c r="E593" s="264"/>
      <c r="F593" s="375"/>
      <c r="G593" s="376"/>
      <c r="H593" s="264"/>
    </row>
    <row r="594" spans="1:8" ht="45" customHeight="1" x14ac:dyDescent="0.25">
      <c r="A594" s="136">
        <f t="shared" si="9"/>
        <v>582</v>
      </c>
      <c r="B594" s="265"/>
      <c r="C594" s="386"/>
      <c r="D594" s="387"/>
      <c r="E594" s="264"/>
      <c r="F594" s="375"/>
      <c r="G594" s="376"/>
      <c r="H594" s="264"/>
    </row>
    <row r="595" spans="1:8" ht="45" customHeight="1" x14ac:dyDescent="0.25">
      <c r="A595" s="136">
        <f t="shared" si="9"/>
        <v>583</v>
      </c>
      <c r="B595" s="265"/>
      <c r="C595" s="386"/>
      <c r="D595" s="387"/>
      <c r="E595" s="264"/>
      <c r="F595" s="375"/>
      <c r="G595" s="376"/>
      <c r="H595" s="264"/>
    </row>
    <row r="596" spans="1:8" ht="45" customHeight="1" x14ac:dyDescent="0.25">
      <c r="A596" s="136">
        <f t="shared" si="9"/>
        <v>584</v>
      </c>
      <c r="B596" s="265"/>
      <c r="C596" s="386"/>
      <c r="D596" s="387"/>
      <c r="E596" s="264"/>
      <c r="F596" s="375"/>
      <c r="G596" s="376"/>
      <c r="H596" s="264"/>
    </row>
    <row r="597" spans="1:8" ht="45" customHeight="1" x14ac:dyDescent="0.25">
      <c r="A597" s="136">
        <f t="shared" si="9"/>
        <v>585</v>
      </c>
      <c r="B597" s="265"/>
      <c r="C597" s="386"/>
      <c r="D597" s="387"/>
      <c r="E597" s="264"/>
      <c r="F597" s="375"/>
      <c r="G597" s="376"/>
      <c r="H597" s="264"/>
    </row>
    <row r="598" spans="1:8" ht="45" customHeight="1" x14ac:dyDescent="0.25">
      <c r="A598" s="136">
        <f t="shared" si="9"/>
        <v>586</v>
      </c>
      <c r="B598" s="265"/>
      <c r="C598" s="386"/>
      <c r="D598" s="387"/>
      <c r="E598" s="264"/>
      <c r="F598" s="375"/>
      <c r="G598" s="376"/>
      <c r="H598" s="264"/>
    </row>
    <row r="599" spans="1:8" ht="45" customHeight="1" x14ac:dyDescent="0.25">
      <c r="A599" s="136">
        <f t="shared" si="9"/>
        <v>587</v>
      </c>
      <c r="B599" s="265"/>
      <c r="C599" s="386"/>
      <c r="D599" s="387"/>
      <c r="E599" s="264"/>
      <c r="F599" s="375"/>
      <c r="G599" s="376"/>
      <c r="H599" s="264"/>
    </row>
    <row r="600" spans="1:8" ht="45" customHeight="1" x14ac:dyDescent="0.25">
      <c r="A600" s="136">
        <f t="shared" si="9"/>
        <v>588</v>
      </c>
      <c r="B600" s="265"/>
      <c r="C600" s="386"/>
      <c r="D600" s="387"/>
      <c r="E600" s="264"/>
      <c r="F600" s="375"/>
      <c r="G600" s="376"/>
      <c r="H600" s="264"/>
    </row>
    <row r="601" spans="1:8" ht="45" customHeight="1" x14ac:dyDescent="0.25">
      <c r="A601" s="136">
        <f t="shared" si="9"/>
        <v>589</v>
      </c>
      <c r="B601" s="265"/>
      <c r="C601" s="386"/>
      <c r="D601" s="387"/>
      <c r="E601" s="264"/>
      <c r="F601" s="375"/>
      <c r="G601" s="376"/>
      <c r="H601" s="264"/>
    </row>
    <row r="602" spans="1:8" ht="45" customHeight="1" x14ac:dyDescent="0.25">
      <c r="A602" s="136">
        <f t="shared" si="9"/>
        <v>590</v>
      </c>
      <c r="B602" s="265"/>
      <c r="C602" s="386"/>
      <c r="D602" s="387"/>
      <c r="E602" s="264"/>
      <c r="F602" s="375"/>
      <c r="G602" s="376"/>
      <c r="H602" s="264"/>
    </row>
    <row r="603" spans="1:8" ht="45" customHeight="1" x14ac:dyDescent="0.25">
      <c r="A603" s="136">
        <f t="shared" si="9"/>
        <v>591</v>
      </c>
      <c r="B603" s="265"/>
      <c r="C603" s="386"/>
      <c r="D603" s="387"/>
      <c r="E603" s="264"/>
      <c r="F603" s="375"/>
      <c r="G603" s="376"/>
      <c r="H603" s="264"/>
    </row>
    <row r="604" spans="1:8" ht="45" customHeight="1" x14ac:dyDescent="0.25">
      <c r="A604" s="136">
        <f t="shared" si="9"/>
        <v>592</v>
      </c>
      <c r="B604" s="265"/>
      <c r="C604" s="386"/>
      <c r="D604" s="387"/>
      <c r="E604" s="264"/>
      <c r="F604" s="375"/>
      <c r="G604" s="376"/>
      <c r="H604" s="264"/>
    </row>
    <row r="605" spans="1:8" ht="45" customHeight="1" x14ac:dyDescent="0.25">
      <c r="A605" s="136">
        <f t="shared" si="9"/>
        <v>593</v>
      </c>
      <c r="B605" s="265"/>
      <c r="C605" s="386"/>
      <c r="D605" s="387"/>
      <c r="E605" s="264"/>
      <c r="F605" s="375"/>
      <c r="G605" s="376"/>
      <c r="H605" s="264"/>
    </row>
    <row r="606" spans="1:8" ht="45" customHeight="1" x14ac:dyDescent="0.25">
      <c r="A606" s="136">
        <f t="shared" si="9"/>
        <v>594</v>
      </c>
      <c r="B606" s="265"/>
      <c r="C606" s="386"/>
      <c r="D606" s="387"/>
      <c r="E606" s="264"/>
      <c r="F606" s="375"/>
      <c r="G606" s="376"/>
      <c r="H606" s="264"/>
    </row>
    <row r="607" spans="1:8" ht="45" customHeight="1" x14ac:dyDescent="0.25">
      <c r="A607" s="136">
        <f t="shared" si="9"/>
        <v>595</v>
      </c>
      <c r="B607" s="265"/>
      <c r="C607" s="386"/>
      <c r="D607" s="387"/>
      <c r="E607" s="264"/>
      <c r="F607" s="375"/>
      <c r="G607" s="376"/>
      <c r="H607" s="264"/>
    </row>
    <row r="608" spans="1:8" ht="45" customHeight="1" x14ac:dyDescent="0.25">
      <c r="A608" s="136">
        <f t="shared" si="9"/>
        <v>596</v>
      </c>
      <c r="B608" s="265"/>
      <c r="C608" s="386"/>
      <c r="D608" s="387"/>
      <c r="E608" s="264"/>
      <c r="F608" s="375"/>
      <c r="G608" s="376"/>
      <c r="H608" s="264"/>
    </row>
    <row r="609" spans="1:8" ht="45" customHeight="1" x14ac:dyDescent="0.25">
      <c r="A609" s="136">
        <f t="shared" si="9"/>
        <v>597</v>
      </c>
      <c r="B609" s="265"/>
      <c r="C609" s="386"/>
      <c r="D609" s="387"/>
      <c r="E609" s="264"/>
      <c r="F609" s="375"/>
      <c r="G609" s="376"/>
      <c r="H609" s="264"/>
    </row>
    <row r="610" spans="1:8" ht="45" customHeight="1" x14ac:dyDescent="0.25">
      <c r="A610" s="136">
        <f t="shared" si="9"/>
        <v>598</v>
      </c>
      <c r="B610" s="265"/>
      <c r="C610" s="386"/>
      <c r="D610" s="387"/>
      <c r="E610" s="264"/>
      <c r="F610" s="375"/>
      <c r="G610" s="376"/>
      <c r="H610" s="264"/>
    </row>
    <row r="611" spans="1:8" ht="45" customHeight="1" x14ac:dyDescent="0.25">
      <c r="A611" s="136">
        <f t="shared" si="9"/>
        <v>599</v>
      </c>
      <c r="B611" s="265"/>
      <c r="C611" s="386"/>
      <c r="D611" s="387"/>
      <c r="E611" s="264"/>
      <c r="F611" s="375"/>
      <c r="G611" s="376"/>
      <c r="H611" s="264"/>
    </row>
    <row r="612" spans="1:8" ht="45" customHeight="1" x14ac:dyDescent="0.25">
      <c r="A612" s="136">
        <f t="shared" si="9"/>
        <v>600</v>
      </c>
      <c r="B612" s="265"/>
      <c r="C612" s="386"/>
      <c r="D612" s="387"/>
      <c r="E612" s="264"/>
      <c r="F612" s="375"/>
      <c r="G612" s="376"/>
      <c r="H612" s="264"/>
    </row>
    <row r="613" spans="1:8" ht="45" customHeight="1" x14ac:dyDescent="0.25">
      <c r="A613" s="136">
        <f t="shared" si="9"/>
        <v>601</v>
      </c>
      <c r="B613" s="265"/>
      <c r="C613" s="386"/>
      <c r="D613" s="387"/>
      <c r="E613" s="264"/>
      <c r="F613" s="375"/>
      <c r="G613" s="376"/>
      <c r="H613" s="264"/>
    </row>
    <row r="614" spans="1:8" ht="45" customHeight="1" x14ac:dyDescent="0.25">
      <c r="A614" s="136">
        <f t="shared" si="9"/>
        <v>602</v>
      </c>
      <c r="B614" s="265"/>
      <c r="C614" s="386"/>
      <c r="D614" s="387"/>
      <c r="E614" s="264"/>
      <c r="F614" s="375"/>
      <c r="G614" s="376"/>
      <c r="H614" s="264"/>
    </row>
    <row r="615" spans="1:8" ht="45" customHeight="1" x14ac:dyDescent="0.25">
      <c r="A615" s="136">
        <f t="shared" si="9"/>
        <v>603</v>
      </c>
      <c r="B615" s="265"/>
      <c r="C615" s="386"/>
      <c r="D615" s="387"/>
      <c r="E615" s="264"/>
      <c r="F615" s="375"/>
      <c r="G615" s="376"/>
      <c r="H615" s="264"/>
    </row>
    <row r="616" spans="1:8" ht="45" customHeight="1" x14ac:dyDescent="0.25">
      <c r="A616" s="136">
        <f t="shared" si="9"/>
        <v>604</v>
      </c>
      <c r="B616" s="265"/>
      <c r="C616" s="386"/>
      <c r="D616" s="387"/>
      <c r="E616" s="264"/>
      <c r="F616" s="375"/>
      <c r="G616" s="376"/>
      <c r="H616" s="264"/>
    </row>
    <row r="617" spans="1:8" ht="45" customHeight="1" x14ac:dyDescent="0.25">
      <c r="A617" s="136">
        <f t="shared" si="9"/>
        <v>605</v>
      </c>
      <c r="B617" s="265"/>
      <c r="C617" s="386"/>
      <c r="D617" s="387"/>
      <c r="E617" s="264"/>
      <c r="F617" s="375"/>
      <c r="G617" s="376"/>
      <c r="H617" s="264"/>
    </row>
    <row r="618" spans="1:8" ht="45" customHeight="1" x14ac:dyDescent="0.25">
      <c r="A618" s="136">
        <f t="shared" si="9"/>
        <v>606</v>
      </c>
      <c r="B618" s="265"/>
      <c r="C618" s="386"/>
      <c r="D618" s="387"/>
      <c r="E618" s="264"/>
      <c r="F618" s="375"/>
      <c r="G618" s="376"/>
      <c r="H618" s="264"/>
    </row>
    <row r="619" spans="1:8" ht="45" customHeight="1" x14ac:dyDescent="0.25">
      <c r="A619" s="136">
        <f t="shared" si="9"/>
        <v>607</v>
      </c>
      <c r="B619" s="265"/>
      <c r="C619" s="386"/>
      <c r="D619" s="387"/>
      <c r="E619" s="264"/>
      <c r="F619" s="375"/>
      <c r="G619" s="376"/>
      <c r="H619" s="264"/>
    </row>
    <row r="620" spans="1:8" ht="45" customHeight="1" x14ac:dyDescent="0.25">
      <c r="A620" s="136">
        <f t="shared" si="9"/>
        <v>608</v>
      </c>
      <c r="B620" s="265"/>
      <c r="C620" s="386"/>
      <c r="D620" s="387"/>
      <c r="E620" s="264"/>
      <c r="F620" s="375"/>
      <c r="G620" s="376"/>
      <c r="H620" s="264"/>
    </row>
    <row r="621" spans="1:8" ht="45" customHeight="1" x14ac:dyDescent="0.25">
      <c r="A621" s="136">
        <f t="shared" si="9"/>
        <v>609</v>
      </c>
      <c r="B621" s="265"/>
      <c r="C621" s="386"/>
      <c r="D621" s="387"/>
      <c r="E621" s="264"/>
      <c r="F621" s="375"/>
      <c r="G621" s="376"/>
      <c r="H621" s="264"/>
    </row>
    <row r="622" spans="1:8" ht="45" customHeight="1" x14ac:dyDescent="0.25">
      <c r="A622" s="136">
        <f t="shared" si="9"/>
        <v>610</v>
      </c>
      <c r="B622" s="265"/>
      <c r="C622" s="386"/>
      <c r="D622" s="387"/>
      <c r="E622" s="264"/>
      <c r="F622" s="375"/>
      <c r="G622" s="376"/>
      <c r="H622" s="264"/>
    </row>
    <row r="623" spans="1:8" ht="45" customHeight="1" x14ac:dyDescent="0.25">
      <c r="A623" s="136">
        <f t="shared" si="9"/>
        <v>611</v>
      </c>
      <c r="B623" s="265"/>
      <c r="C623" s="386"/>
      <c r="D623" s="387"/>
      <c r="E623" s="264"/>
      <c r="F623" s="375"/>
      <c r="G623" s="376"/>
      <c r="H623" s="264"/>
    </row>
    <row r="624" spans="1:8" ht="45" customHeight="1" x14ac:dyDescent="0.25">
      <c r="A624" s="136">
        <f t="shared" si="9"/>
        <v>612</v>
      </c>
      <c r="B624" s="265"/>
      <c r="C624" s="386"/>
      <c r="D624" s="387"/>
      <c r="E624" s="264"/>
      <c r="F624" s="375"/>
      <c r="G624" s="376"/>
      <c r="H624" s="264"/>
    </row>
    <row r="625" spans="1:8" ht="45" customHeight="1" x14ac:dyDescent="0.25">
      <c r="A625" s="136">
        <f t="shared" si="9"/>
        <v>613</v>
      </c>
      <c r="B625" s="265"/>
      <c r="C625" s="386"/>
      <c r="D625" s="387"/>
      <c r="E625" s="264"/>
      <c r="F625" s="375"/>
      <c r="G625" s="376"/>
      <c r="H625" s="264"/>
    </row>
    <row r="626" spans="1:8" ht="45" customHeight="1" x14ac:dyDescent="0.25">
      <c r="A626" s="136">
        <f t="shared" si="9"/>
        <v>614</v>
      </c>
      <c r="B626" s="265"/>
      <c r="C626" s="386"/>
      <c r="D626" s="387"/>
      <c r="E626" s="264"/>
      <c r="F626" s="375"/>
      <c r="G626" s="376"/>
      <c r="H626" s="264"/>
    </row>
    <row r="627" spans="1:8" ht="45" customHeight="1" x14ac:dyDescent="0.25">
      <c r="A627" s="136">
        <f t="shared" si="9"/>
        <v>615</v>
      </c>
      <c r="B627" s="265"/>
      <c r="C627" s="386"/>
      <c r="D627" s="387"/>
      <c r="E627" s="264"/>
      <c r="F627" s="375"/>
      <c r="G627" s="376"/>
      <c r="H627" s="264"/>
    </row>
    <row r="628" spans="1:8" ht="45" customHeight="1" x14ac:dyDescent="0.25">
      <c r="A628" s="136">
        <f t="shared" si="9"/>
        <v>616</v>
      </c>
      <c r="B628" s="265"/>
      <c r="C628" s="386"/>
      <c r="D628" s="387"/>
      <c r="E628" s="264"/>
      <c r="F628" s="375"/>
      <c r="G628" s="376"/>
      <c r="H628" s="264"/>
    </row>
    <row r="629" spans="1:8" ht="45" customHeight="1" x14ac:dyDescent="0.25">
      <c r="A629" s="136">
        <f t="shared" si="9"/>
        <v>617</v>
      </c>
      <c r="B629" s="265"/>
      <c r="C629" s="386"/>
      <c r="D629" s="387"/>
      <c r="E629" s="264"/>
      <c r="F629" s="375"/>
      <c r="G629" s="376"/>
      <c r="H629" s="264"/>
    </row>
    <row r="630" spans="1:8" ht="45" customHeight="1" x14ac:dyDescent="0.25">
      <c r="A630" s="136">
        <f t="shared" si="9"/>
        <v>618</v>
      </c>
      <c r="B630" s="265"/>
      <c r="C630" s="386"/>
      <c r="D630" s="387"/>
      <c r="E630" s="264"/>
      <c r="F630" s="375"/>
      <c r="G630" s="376"/>
      <c r="H630" s="264"/>
    </row>
    <row r="631" spans="1:8" ht="45" customHeight="1" x14ac:dyDescent="0.25">
      <c r="A631" s="136">
        <f t="shared" si="9"/>
        <v>619</v>
      </c>
      <c r="B631" s="265"/>
      <c r="C631" s="386"/>
      <c r="D631" s="387"/>
      <c r="E631" s="264"/>
      <c r="F631" s="375"/>
      <c r="G631" s="376"/>
      <c r="H631" s="264"/>
    </row>
    <row r="632" spans="1:8" ht="45" customHeight="1" x14ac:dyDescent="0.25">
      <c r="A632" s="136">
        <f t="shared" si="9"/>
        <v>620</v>
      </c>
      <c r="B632" s="265"/>
      <c r="C632" s="386"/>
      <c r="D632" s="387"/>
      <c r="E632" s="264"/>
      <c r="F632" s="375"/>
      <c r="G632" s="376"/>
      <c r="H632" s="264"/>
    </row>
    <row r="633" spans="1:8" ht="45" customHeight="1" x14ac:dyDescent="0.25">
      <c r="A633" s="136">
        <f t="shared" si="9"/>
        <v>621</v>
      </c>
      <c r="B633" s="265"/>
      <c r="C633" s="386"/>
      <c r="D633" s="387"/>
      <c r="E633" s="264"/>
      <c r="F633" s="375"/>
      <c r="G633" s="376"/>
      <c r="H633" s="264"/>
    </row>
    <row r="634" spans="1:8" ht="45" customHeight="1" x14ac:dyDescent="0.25">
      <c r="A634" s="136">
        <f t="shared" si="9"/>
        <v>622</v>
      </c>
      <c r="B634" s="265"/>
      <c r="C634" s="386"/>
      <c r="D634" s="387"/>
      <c r="E634" s="264"/>
      <c r="F634" s="375"/>
      <c r="G634" s="376"/>
      <c r="H634" s="264"/>
    </row>
    <row r="635" spans="1:8" ht="45" customHeight="1" x14ac:dyDescent="0.25">
      <c r="A635" s="136">
        <f t="shared" si="9"/>
        <v>623</v>
      </c>
      <c r="B635" s="265"/>
      <c r="C635" s="386"/>
      <c r="D635" s="387"/>
      <c r="E635" s="264"/>
      <c r="F635" s="375"/>
      <c r="G635" s="376"/>
      <c r="H635" s="264"/>
    </row>
    <row r="636" spans="1:8" ht="45" customHeight="1" x14ac:dyDescent="0.25">
      <c r="A636" s="136">
        <f t="shared" si="9"/>
        <v>624</v>
      </c>
      <c r="B636" s="265"/>
      <c r="C636" s="386"/>
      <c r="D636" s="387"/>
      <c r="E636" s="264"/>
      <c r="F636" s="375"/>
      <c r="G636" s="376"/>
      <c r="H636" s="264"/>
    </row>
    <row r="637" spans="1:8" ht="45" customHeight="1" x14ac:dyDescent="0.25">
      <c r="A637" s="136">
        <f t="shared" si="9"/>
        <v>625</v>
      </c>
      <c r="B637" s="265"/>
      <c r="C637" s="386"/>
      <c r="D637" s="387"/>
      <c r="E637" s="264"/>
      <c r="F637" s="375"/>
      <c r="G637" s="376"/>
      <c r="H637" s="264"/>
    </row>
    <row r="638" spans="1:8" ht="45" customHeight="1" x14ac:dyDescent="0.25">
      <c r="A638" s="136">
        <f t="shared" si="9"/>
        <v>626</v>
      </c>
      <c r="B638" s="265"/>
      <c r="C638" s="386"/>
      <c r="D638" s="387"/>
      <c r="E638" s="264"/>
      <c r="F638" s="375"/>
      <c r="G638" s="376"/>
      <c r="H638" s="264"/>
    </row>
    <row r="639" spans="1:8" ht="45" customHeight="1" x14ac:dyDescent="0.25">
      <c r="A639" s="136">
        <f t="shared" si="9"/>
        <v>627</v>
      </c>
      <c r="B639" s="265"/>
      <c r="C639" s="386"/>
      <c r="D639" s="387"/>
      <c r="E639" s="264"/>
      <c r="F639" s="375"/>
      <c r="G639" s="376"/>
      <c r="H639" s="264"/>
    </row>
    <row r="640" spans="1:8" ht="45" customHeight="1" x14ac:dyDescent="0.25">
      <c r="A640" s="136">
        <f t="shared" si="9"/>
        <v>628</v>
      </c>
      <c r="B640" s="265"/>
      <c r="C640" s="386"/>
      <c r="D640" s="387"/>
      <c r="E640" s="264"/>
      <c r="F640" s="375"/>
      <c r="G640" s="376"/>
      <c r="H640" s="264"/>
    </row>
    <row r="641" spans="1:8" ht="45" customHeight="1" x14ac:dyDescent="0.25">
      <c r="A641" s="136">
        <f t="shared" si="9"/>
        <v>629</v>
      </c>
      <c r="B641" s="265"/>
      <c r="C641" s="386"/>
      <c r="D641" s="387"/>
      <c r="E641" s="264"/>
      <c r="F641" s="375"/>
      <c r="G641" s="376"/>
      <c r="H641" s="264"/>
    </row>
    <row r="642" spans="1:8" ht="45" customHeight="1" x14ac:dyDescent="0.25">
      <c r="A642" s="136">
        <f t="shared" si="9"/>
        <v>630</v>
      </c>
      <c r="B642" s="265"/>
      <c r="C642" s="386"/>
      <c r="D642" s="387"/>
      <c r="E642" s="264"/>
      <c r="F642" s="375"/>
      <c r="G642" s="376"/>
      <c r="H642" s="264"/>
    </row>
    <row r="643" spans="1:8" ht="45" customHeight="1" x14ac:dyDescent="0.25">
      <c r="A643" s="136">
        <f t="shared" si="9"/>
        <v>631</v>
      </c>
      <c r="B643" s="265"/>
      <c r="C643" s="386"/>
      <c r="D643" s="387"/>
      <c r="E643" s="264"/>
      <c r="F643" s="375"/>
      <c r="G643" s="376"/>
      <c r="H643" s="264"/>
    </row>
    <row r="644" spans="1:8" ht="45" customHeight="1" x14ac:dyDescent="0.25">
      <c r="A644" s="136">
        <f t="shared" si="9"/>
        <v>632</v>
      </c>
      <c r="B644" s="265"/>
      <c r="C644" s="386"/>
      <c r="D644" s="387"/>
      <c r="E644" s="264"/>
      <c r="F644" s="375"/>
      <c r="G644" s="376"/>
      <c r="H644" s="264"/>
    </row>
    <row r="645" spans="1:8" ht="45" customHeight="1" x14ac:dyDescent="0.25">
      <c r="A645" s="136">
        <f t="shared" si="9"/>
        <v>633</v>
      </c>
      <c r="B645" s="265"/>
      <c r="C645" s="386"/>
      <c r="D645" s="387"/>
      <c r="E645" s="264"/>
      <c r="F645" s="375"/>
      <c r="G645" s="376"/>
      <c r="H645" s="264"/>
    </row>
    <row r="646" spans="1:8" ht="45" customHeight="1" x14ac:dyDescent="0.25">
      <c r="A646" s="136">
        <f t="shared" si="9"/>
        <v>634</v>
      </c>
      <c r="B646" s="265"/>
      <c r="C646" s="386"/>
      <c r="D646" s="387"/>
      <c r="E646" s="264"/>
      <c r="F646" s="375"/>
      <c r="G646" s="376"/>
      <c r="H646" s="264"/>
    </row>
    <row r="647" spans="1:8" ht="45" customHeight="1" x14ac:dyDescent="0.25">
      <c r="A647" s="136">
        <f t="shared" si="9"/>
        <v>635</v>
      </c>
      <c r="B647" s="265"/>
      <c r="C647" s="386"/>
      <c r="D647" s="387"/>
      <c r="E647" s="264"/>
      <c r="F647" s="375"/>
      <c r="G647" s="376"/>
      <c r="H647" s="264"/>
    </row>
    <row r="648" spans="1:8" ht="45" customHeight="1" x14ac:dyDescent="0.25">
      <c r="A648" s="136">
        <f t="shared" si="9"/>
        <v>636</v>
      </c>
      <c r="B648" s="265"/>
      <c r="C648" s="386"/>
      <c r="D648" s="387"/>
      <c r="E648" s="264"/>
      <c r="F648" s="375"/>
      <c r="G648" s="376"/>
      <c r="H648" s="264"/>
    </row>
    <row r="649" spans="1:8" ht="45" customHeight="1" x14ac:dyDescent="0.25">
      <c r="A649" s="136">
        <f t="shared" si="9"/>
        <v>637</v>
      </c>
      <c r="B649" s="265"/>
      <c r="C649" s="386"/>
      <c r="D649" s="387"/>
      <c r="E649" s="264"/>
      <c r="F649" s="375"/>
      <c r="G649" s="376"/>
      <c r="H649" s="264"/>
    </row>
    <row r="650" spans="1:8" ht="45" customHeight="1" x14ac:dyDescent="0.25">
      <c r="A650" s="136">
        <f t="shared" si="9"/>
        <v>638</v>
      </c>
      <c r="B650" s="265"/>
      <c r="C650" s="386"/>
      <c r="D650" s="387"/>
      <c r="E650" s="264"/>
      <c r="F650" s="375"/>
      <c r="G650" s="376"/>
      <c r="H650" s="264"/>
    </row>
    <row r="651" spans="1:8" ht="45" customHeight="1" x14ac:dyDescent="0.25">
      <c r="A651" s="136">
        <f t="shared" si="9"/>
        <v>639</v>
      </c>
      <c r="B651" s="265"/>
      <c r="C651" s="386"/>
      <c r="D651" s="387"/>
      <c r="E651" s="264"/>
      <c r="F651" s="375"/>
      <c r="G651" s="376"/>
      <c r="H651" s="264"/>
    </row>
    <row r="652" spans="1:8" ht="45" customHeight="1" x14ac:dyDescent="0.25">
      <c r="A652" s="136">
        <f t="shared" si="9"/>
        <v>640</v>
      </c>
      <c r="B652" s="265"/>
      <c r="C652" s="386"/>
      <c r="D652" s="387"/>
      <c r="E652" s="264"/>
      <c r="F652" s="375"/>
      <c r="G652" s="376"/>
      <c r="H652" s="264"/>
    </row>
    <row r="653" spans="1:8" ht="45" customHeight="1" x14ac:dyDescent="0.25">
      <c r="A653" s="136">
        <f t="shared" si="9"/>
        <v>641</v>
      </c>
      <c r="B653" s="265"/>
      <c r="C653" s="386"/>
      <c r="D653" s="387"/>
      <c r="E653" s="264"/>
      <c r="F653" s="375"/>
      <c r="G653" s="376"/>
      <c r="H653" s="264"/>
    </row>
    <row r="654" spans="1:8" ht="45" customHeight="1" x14ac:dyDescent="0.25">
      <c r="A654" s="136">
        <f t="shared" ref="A654:A717" si="10">ROW(A642)</f>
        <v>642</v>
      </c>
      <c r="B654" s="265"/>
      <c r="C654" s="386"/>
      <c r="D654" s="387"/>
      <c r="E654" s="264"/>
      <c r="F654" s="375"/>
      <c r="G654" s="376"/>
      <c r="H654" s="264"/>
    </row>
    <row r="655" spans="1:8" ht="45" customHeight="1" x14ac:dyDescent="0.25">
      <c r="A655" s="136">
        <f t="shared" si="10"/>
        <v>643</v>
      </c>
      <c r="B655" s="265"/>
      <c r="C655" s="386"/>
      <c r="D655" s="387"/>
      <c r="E655" s="264"/>
      <c r="F655" s="375"/>
      <c r="G655" s="376"/>
      <c r="H655" s="264"/>
    </row>
    <row r="656" spans="1:8" ht="45" customHeight="1" x14ac:dyDescent="0.25">
      <c r="A656" s="136">
        <f t="shared" si="10"/>
        <v>644</v>
      </c>
      <c r="B656" s="265"/>
      <c r="C656" s="386"/>
      <c r="D656" s="387"/>
      <c r="E656" s="264"/>
      <c r="F656" s="375"/>
      <c r="G656" s="376"/>
      <c r="H656" s="264"/>
    </row>
    <row r="657" spans="1:8" ht="45" customHeight="1" x14ac:dyDescent="0.25">
      <c r="A657" s="136">
        <f t="shared" si="10"/>
        <v>645</v>
      </c>
      <c r="B657" s="265"/>
      <c r="C657" s="386"/>
      <c r="D657" s="387"/>
      <c r="E657" s="264"/>
      <c r="F657" s="375"/>
      <c r="G657" s="376"/>
      <c r="H657" s="264"/>
    </row>
    <row r="658" spans="1:8" ht="45" customHeight="1" x14ac:dyDescent="0.25">
      <c r="A658" s="136">
        <f t="shared" si="10"/>
        <v>646</v>
      </c>
      <c r="B658" s="265"/>
      <c r="C658" s="386"/>
      <c r="D658" s="387"/>
      <c r="E658" s="264"/>
      <c r="F658" s="375"/>
      <c r="G658" s="376"/>
      <c r="H658" s="264"/>
    </row>
    <row r="659" spans="1:8" ht="45" customHeight="1" x14ac:dyDescent="0.25">
      <c r="A659" s="136">
        <f t="shared" si="10"/>
        <v>647</v>
      </c>
      <c r="B659" s="265"/>
      <c r="C659" s="386"/>
      <c r="D659" s="387"/>
      <c r="E659" s="264"/>
      <c r="F659" s="375"/>
      <c r="G659" s="376"/>
      <c r="H659" s="264"/>
    </row>
    <row r="660" spans="1:8" ht="45" customHeight="1" x14ac:dyDescent="0.25">
      <c r="A660" s="136">
        <f t="shared" si="10"/>
        <v>648</v>
      </c>
      <c r="B660" s="265"/>
      <c r="C660" s="386"/>
      <c r="D660" s="387"/>
      <c r="E660" s="264"/>
      <c r="F660" s="375"/>
      <c r="G660" s="376"/>
      <c r="H660" s="264"/>
    </row>
    <row r="661" spans="1:8" ht="45" customHeight="1" x14ac:dyDescent="0.25">
      <c r="A661" s="136">
        <f t="shared" si="10"/>
        <v>649</v>
      </c>
      <c r="B661" s="265"/>
      <c r="C661" s="386"/>
      <c r="D661" s="387"/>
      <c r="E661" s="264"/>
      <c r="F661" s="375"/>
      <c r="G661" s="376"/>
      <c r="H661" s="264"/>
    </row>
    <row r="662" spans="1:8" ht="45" customHeight="1" x14ac:dyDescent="0.25">
      <c r="A662" s="136">
        <f t="shared" si="10"/>
        <v>650</v>
      </c>
      <c r="B662" s="265"/>
      <c r="C662" s="386"/>
      <c r="D662" s="387"/>
      <c r="E662" s="264"/>
      <c r="F662" s="375"/>
      <c r="G662" s="376"/>
      <c r="H662" s="264"/>
    </row>
    <row r="663" spans="1:8" ht="45" customHeight="1" x14ac:dyDescent="0.25">
      <c r="A663" s="136">
        <f t="shared" si="10"/>
        <v>651</v>
      </c>
      <c r="B663" s="265"/>
      <c r="C663" s="386"/>
      <c r="D663" s="387"/>
      <c r="E663" s="264"/>
      <c r="F663" s="375"/>
      <c r="G663" s="376"/>
      <c r="H663" s="264"/>
    </row>
    <row r="664" spans="1:8" ht="45" customHeight="1" x14ac:dyDescent="0.25">
      <c r="A664" s="136">
        <f t="shared" si="10"/>
        <v>652</v>
      </c>
      <c r="B664" s="265"/>
      <c r="C664" s="386"/>
      <c r="D664" s="387"/>
      <c r="E664" s="264"/>
      <c r="F664" s="375"/>
      <c r="G664" s="376"/>
      <c r="H664" s="264"/>
    </row>
    <row r="665" spans="1:8" ht="45" customHeight="1" x14ac:dyDescent="0.25">
      <c r="A665" s="136">
        <f t="shared" si="10"/>
        <v>653</v>
      </c>
      <c r="B665" s="265"/>
      <c r="C665" s="386"/>
      <c r="D665" s="387"/>
      <c r="E665" s="264"/>
      <c r="F665" s="375"/>
      <c r="G665" s="376"/>
      <c r="H665" s="264"/>
    </row>
    <row r="666" spans="1:8" ht="45" customHeight="1" x14ac:dyDescent="0.25">
      <c r="A666" s="136">
        <f t="shared" si="10"/>
        <v>654</v>
      </c>
      <c r="B666" s="265"/>
      <c r="C666" s="386"/>
      <c r="D666" s="387"/>
      <c r="E666" s="264"/>
      <c r="F666" s="375"/>
      <c r="G666" s="376"/>
      <c r="H666" s="264"/>
    </row>
    <row r="667" spans="1:8" ht="45" customHeight="1" x14ac:dyDescent="0.25">
      <c r="A667" s="136">
        <f t="shared" si="10"/>
        <v>655</v>
      </c>
      <c r="B667" s="265"/>
      <c r="C667" s="386"/>
      <c r="D667" s="387"/>
      <c r="E667" s="264"/>
      <c r="F667" s="375"/>
      <c r="G667" s="376"/>
      <c r="H667" s="264"/>
    </row>
    <row r="668" spans="1:8" ht="45" customHeight="1" x14ac:dyDescent="0.25">
      <c r="A668" s="136">
        <f t="shared" si="10"/>
        <v>656</v>
      </c>
      <c r="B668" s="265"/>
      <c r="C668" s="386"/>
      <c r="D668" s="387"/>
      <c r="E668" s="264"/>
      <c r="F668" s="375"/>
      <c r="G668" s="376"/>
      <c r="H668" s="264"/>
    </row>
    <row r="669" spans="1:8" ht="45" customHeight="1" x14ac:dyDescent="0.25">
      <c r="A669" s="136">
        <f t="shared" si="10"/>
        <v>657</v>
      </c>
      <c r="B669" s="265"/>
      <c r="C669" s="386"/>
      <c r="D669" s="387"/>
      <c r="E669" s="264"/>
      <c r="F669" s="375"/>
      <c r="G669" s="376"/>
      <c r="H669" s="264"/>
    </row>
    <row r="670" spans="1:8" ht="45" customHeight="1" x14ac:dyDescent="0.25">
      <c r="A670" s="136">
        <f t="shared" si="10"/>
        <v>658</v>
      </c>
      <c r="B670" s="265"/>
      <c r="C670" s="386"/>
      <c r="D670" s="387"/>
      <c r="E670" s="264"/>
      <c r="F670" s="375"/>
      <c r="G670" s="376"/>
      <c r="H670" s="264"/>
    </row>
    <row r="671" spans="1:8" ht="45" customHeight="1" x14ac:dyDescent="0.25">
      <c r="A671" s="136">
        <f t="shared" si="10"/>
        <v>659</v>
      </c>
      <c r="B671" s="265"/>
      <c r="C671" s="386"/>
      <c r="D671" s="387"/>
      <c r="E671" s="264"/>
      <c r="F671" s="375"/>
      <c r="G671" s="376"/>
      <c r="H671" s="264"/>
    </row>
    <row r="672" spans="1:8" ht="45" customHeight="1" x14ac:dyDescent="0.25">
      <c r="A672" s="136">
        <f t="shared" si="10"/>
        <v>660</v>
      </c>
      <c r="B672" s="265"/>
      <c r="C672" s="386"/>
      <c r="D672" s="387"/>
      <c r="E672" s="264"/>
      <c r="F672" s="375"/>
      <c r="G672" s="376"/>
      <c r="H672" s="264"/>
    </row>
    <row r="673" spans="1:8" ht="45" customHeight="1" x14ac:dyDescent="0.25">
      <c r="A673" s="136">
        <f t="shared" si="10"/>
        <v>661</v>
      </c>
      <c r="B673" s="265"/>
      <c r="C673" s="386"/>
      <c r="D673" s="387"/>
      <c r="E673" s="264"/>
      <c r="F673" s="375"/>
      <c r="G673" s="376"/>
      <c r="H673" s="264"/>
    </row>
    <row r="674" spans="1:8" ht="45" customHeight="1" x14ac:dyDescent="0.25">
      <c r="A674" s="136">
        <f t="shared" si="10"/>
        <v>662</v>
      </c>
      <c r="B674" s="265"/>
      <c r="C674" s="386"/>
      <c r="D674" s="387"/>
      <c r="E674" s="264"/>
      <c r="F674" s="375"/>
      <c r="G674" s="376"/>
      <c r="H674" s="264"/>
    </row>
    <row r="675" spans="1:8" ht="45" customHeight="1" x14ac:dyDescent="0.25">
      <c r="A675" s="136">
        <f t="shared" si="10"/>
        <v>663</v>
      </c>
      <c r="B675" s="265"/>
      <c r="C675" s="386"/>
      <c r="D675" s="387"/>
      <c r="E675" s="264"/>
      <c r="F675" s="375"/>
      <c r="G675" s="376"/>
      <c r="H675" s="264"/>
    </row>
    <row r="676" spans="1:8" ht="45" customHeight="1" x14ac:dyDescent="0.25">
      <c r="A676" s="136">
        <f t="shared" si="10"/>
        <v>664</v>
      </c>
      <c r="B676" s="265"/>
      <c r="C676" s="386"/>
      <c r="D676" s="387"/>
      <c r="E676" s="264"/>
      <c r="F676" s="375"/>
      <c r="G676" s="376"/>
      <c r="H676" s="264"/>
    </row>
    <row r="677" spans="1:8" ht="45" customHeight="1" x14ac:dyDescent="0.25">
      <c r="A677" s="136">
        <f t="shared" si="10"/>
        <v>665</v>
      </c>
      <c r="B677" s="265"/>
      <c r="C677" s="386"/>
      <c r="D677" s="387"/>
      <c r="E677" s="264"/>
      <c r="F677" s="375"/>
      <c r="G677" s="376"/>
      <c r="H677" s="264"/>
    </row>
    <row r="678" spans="1:8" ht="45" customHeight="1" x14ac:dyDescent="0.25">
      <c r="A678" s="136">
        <f t="shared" si="10"/>
        <v>666</v>
      </c>
      <c r="B678" s="265"/>
      <c r="C678" s="386"/>
      <c r="D678" s="387"/>
      <c r="E678" s="264"/>
      <c r="F678" s="375"/>
      <c r="G678" s="376"/>
      <c r="H678" s="264"/>
    </row>
    <row r="679" spans="1:8" ht="45" customHeight="1" x14ac:dyDescent="0.25">
      <c r="A679" s="136">
        <f t="shared" si="10"/>
        <v>667</v>
      </c>
      <c r="B679" s="265"/>
      <c r="C679" s="386"/>
      <c r="D679" s="387"/>
      <c r="E679" s="264"/>
      <c r="F679" s="375"/>
      <c r="G679" s="376"/>
      <c r="H679" s="264"/>
    </row>
    <row r="680" spans="1:8" ht="45" customHeight="1" x14ac:dyDescent="0.25">
      <c r="A680" s="136">
        <f t="shared" si="10"/>
        <v>668</v>
      </c>
      <c r="B680" s="265"/>
      <c r="C680" s="386"/>
      <c r="D680" s="387"/>
      <c r="E680" s="264"/>
      <c r="F680" s="375"/>
      <c r="G680" s="376"/>
      <c r="H680" s="264"/>
    </row>
    <row r="681" spans="1:8" ht="45" customHeight="1" x14ac:dyDescent="0.25">
      <c r="A681" s="136">
        <f t="shared" si="10"/>
        <v>669</v>
      </c>
      <c r="B681" s="265"/>
      <c r="C681" s="386"/>
      <c r="D681" s="387"/>
      <c r="E681" s="264"/>
      <c r="F681" s="375"/>
      <c r="G681" s="376"/>
      <c r="H681" s="264"/>
    </row>
    <row r="682" spans="1:8" ht="45" customHeight="1" x14ac:dyDescent="0.25">
      <c r="A682" s="136">
        <f t="shared" si="10"/>
        <v>670</v>
      </c>
      <c r="B682" s="265"/>
      <c r="C682" s="386"/>
      <c r="D682" s="387"/>
      <c r="E682" s="264"/>
      <c r="F682" s="375"/>
      <c r="G682" s="376"/>
      <c r="H682" s="264"/>
    </row>
    <row r="683" spans="1:8" ht="45" customHeight="1" x14ac:dyDescent="0.25">
      <c r="A683" s="136">
        <f t="shared" si="10"/>
        <v>671</v>
      </c>
      <c r="B683" s="265"/>
      <c r="C683" s="386"/>
      <c r="D683" s="387"/>
      <c r="E683" s="264"/>
      <c r="F683" s="375"/>
      <c r="G683" s="376"/>
      <c r="H683" s="264"/>
    </row>
    <row r="684" spans="1:8" ht="45" customHeight="1" x14ac:dyDescent="0.25">
      <c r="A684" s="136">
        <f t="shared" si="10"/>
        <v>672</v>
      </c>
      <c r="B684" s="265"/>
      <c r="C684" s="386"/>
      <c r="D684" s="387"/>
      <c r="E684" s="264"/>
      <c r="F684" s="375"/>
      <c r="G684" s="376"/>
      <c r="H684" s="264"/>
    </row>
    <row r="685" spans="1:8" ht="45" customHeight="1" x14ac:dyDescent="0.25">
      <c r="A685" s="136">
        <f t="shared" si="10"/>
        <v>673</v>
      </c>
      <c r="B685" s="265"/>
      <c r="C685" s="386"/>
      <c r="D685" s="387"/>
      <c r="E685" s="264"/>
      <c r="F685" s="375"/>
      <c r="G685" s="376"/>
      <c r="H685" s="264"/>
    </row>
    <row r="686" spans="1:8" ht="45" customHeight="1" x14ac:dyDescent="0.25">
      <c r="A686" s="136">
        <f t="shared" si="10"/>
        <v>674</v>
      </c>
      <c r="B686" s="265"/>
      <c r="C686" s="386"/>
      <c r="D686" s="387"/>
      <c r="E686" s="264"/>
      <c r="F686" s="375"/>
      <c r="G686" s="376"/>
      <c r="H686" s="264"/>
    </row>
    <row r="687" spans="1:8" ht="45" customHeight="1" x14ac:dyDescent="0.25">
      <c r="A687" s="136">
        <f t="shared" si="10"/>
        <v>675</v>
      </c>
      <c r="B687" s="265"/>
      <c r="C687" s="386"/>
      <c r="D687" s="387"/>
      <c r="E687" s="264"/>
      <c r="F687" s="375"/>
      <c r="G687" s="376"/>
      <c r="H687" s="264"/>
    </row>
    <row r="688" spans="1:8" ht="45" customHeight="1" x14ac:dyDescent="0.25">
      <c r="A688" s="136">
        <f t="shared" si="10"/>
        <v>676</v>
      </c>
      <c r="B688" s="265"/>
      <c r="C688" s="386"/>
      <c r="D688" s="387"/>
      <c r="E688" s="264"/>
      <c r="F688" s="375"/>
      <c r="G688" s="376"/>
      <c r="H688" s="264"/>
    </row>
    <row r="689" spans="1:8" ht="45" customHeight="1" x14ac:dyDescent="0.25">
      <c r="A689" s="136">
        <f t="shared" si="10"/>
        <v>677</v>
      </c>
      <c r="B689" s="265"/>
      <c r="C689" s="386"/>
      <c r="D689" s="387"/>
      <c r="E689" s="264"/>
      <c r="F689" s="375"/>
      <c r="G689" s="376"/>
      <c r="H689" s="264"/>
    </row>
    <row r="690" spans="1:8" ht="45" customHeight="1" x14ac:dyDescent="0.25">
      <c r="A690" s="136">
        <f t="shared" si="10"/>
        <v>678</v>
      </c>
      <c r="B690" s="265"/>
      <c r="C690" s="386"/>
      <c r="D690" s="387"/>
      <c r="E690" s="264"/>
      <c r="F690" s="375"/>
      <c r="G690" s="376"/>
      <c r="H690" s="264"/>
    </row>
    <row r="691" spans="1:8" ht="45" customHeight="1" x14ac:dyDescent="0.25">
      <c r="A691" s="136">
        <f t="shared" si="10"/>
        <v>679</v>
      </c>
      <c r="B691" s="265"/>
      <c r="C691" s="386"/>
      <c r="D691" s="387"/>
      <c r="E691" s="264"/>
      <c r="F691" s="375"/>
      <c r="G691" s="376"/>
      <c r="H691" s="264"/>
    </row>
    <row r="692" spans="1:8" ht="45" customHeight="1" x14ac:dyDescent="0.25">
      <c r="A692" s="136">
        <f t="shared" si="10"/>
        <v>680</v>
      </c>
      <c r="B692" s="265"/>
      <c r="C692" s="386"/>
      <c r="D692" s="387"/>
      <c r="E692" s="264"/>
      <c r="F692" s="375"/>
      <c r="G692" s="376"/>
      <c r="H692" s="264"/>
    </row>
    <row r="693" spans="1:8" ht="45" customHeight="1" x14ac:dyDescent="0.25">
      <c r="A693" s="136">
        <f t="shared" si="10"/>
        <v>681</v>
      </c>
      <c r="B693" s="265"/>
      <c r="C693" s="386"/>
      <c r="D693" s="387"/>
      <c r="E693" s="264"/>
      <c r="F693" s="375"/>
      <c r="G693" s="376"/>
      <c r="H693" s="264"/>
    </row>
    <row r="694" spans="1:8" ht="45" customHeight="1" x14ac:dyDescent="0.25">
      <c r="A694" s="136">
        <f t="shared" si="10"/>
        <v>682</v>
      </c>
      <c r="B694" s="265"/>
      <c r="C694" s="386"/>
      <c r="D694" s="387"/>
      <c r="E694" s="264"/>
      <c r="F694" s="375"/>
      <c r="G694" s="376"/>
      <c r="H694" s="264"/>
    </row>
    <row r="695" spans="1:8" ht="45" customHeight="1" x14ac:dyDescent="0.25">
      <c r="A695" s="136">
        <f t="shared" si="10"/>
        <v>683</v>
      </c>
      <c r="B695" s="265"/>
      <c r="C695" s="386"/>
      <c r="D695" s="387"/>
      <c r="E695" s="264"/>
      <c r="F695" s="375"/>
      <c r="G695" s="376"/>
      <c r="H695" s="264"/>
    </row>
    <row r="696" spans="1:8" ht="45" customHeight="1" x14ac:dyDescent="0.25">
      <c r="A696" s="136">
        <f t="shared" si="10"/>
        <v>684</v>
      </c>
      <c r="B696" s="265"/>
      <c r="C696" s="386"/>
      <c r="D696" s="387"/>
      <c r="E696" s="264"/>
      <c r="F696" s="375"/>
      <c r="G696" s="376"/>
      <c r="H696" s="264"/>
    </row>
    <row r="697" spans="1:8" ht="45" customHeight="1" x14ac:dyDescent="0.25">
      <c r="A697" s="136">
        <f t="shared" si="10"/>
        <v>685</v>
      </c>
      <c r="B697" s="265"/>
      <c r="C697" s="386"/>
      <c r="D697" s="387"/>
      <c r="E697" s="264"/>
      <c r="F697" s="375"/>
      <c r="G697" s="376"/>
      <c r="H697" s="264"/>
    </row>
    <row r="698" spans="1:8" ht="45" customHeight="1" x14ac:dyDescent="0.25">
      <c r="A698" s="136">
        <f t="shared" si="10"/>
        <v>686</v>
      </c>
      <c r="B698" s="265"/>
      <c r="C698" s="386"/>
      <c r="D698" s="387"/>
      <c r="E698" s="264"/>
      <c r="F698" s="375"/>
      <c r="G698" s="376"/>
      <c r="H698" s="264"/>
    </row>
    <row r="699" spans="1:8" ht="45" customHeight="1" x14ac:dyDescent="0.25">
      <c r="A699" s="136">
        <f t="shared" si="10"/>
        <v>687</v>
      </c>
      <c r="B699" s="265"/>
      <c r="C699" s="386"/>
      <c r="D699" s="387"/>
      <c r="E699" s="264"/>
      <c r="F699" s="375"/>
      <c r="G699" s="376"/>
      <c r="H699" s="264"/>
    </row>
    <row r="700" spans="1:8" ht="45" customHeight="1" x14ac:dyDescent="0.25">
      <c r="A700" s="136">
        <f t="shared" si="10"/>
        <v>688</v>
      </c>
      <c r="B700" s="265"/>
      <c r="C700" s="386"/>
      <c r="D700" s="387"/>
      <c r="E700" s="264"/>
      <c r="F700" s="375"/>
      <c r="G700" s="376"/>
      <c r="H700" s="264"/>
    </row>
    <row r="701" spans="1:8" ht="45" customHeight="1" x14ac:dyDescent="0.25">
      <c r="A701" s="136">
        <f t="shared" si="10"/>
        <v>689</v>
      </c>
      <c r="B701" s="265"/>
      <c r="C701" s="386"/>
      <c r="D701" s="387"/>
      <c r="E701" s="264"/>
      <c r="F701" s="375"/>
      <c r="G701" s="376"/>
      <c r="H701" s="264"/>
    </row>
    <row r="702" spans="1:8" ht="45" customHeight="1" x14ac:dyDescent="0.25">
      <c r="A702" s="136">
        <f t="shared" si="10"/>
        <v>690</v>
      </c>
      <c r="B702" s="265"/>
      <c r="C702" s="386"/>
      <c r="D702" s="387"/>
      <c r="E702" s="264"/>
      <c r="F702" s="375"/>
      <c r="G702" s="376"/>
      <c r="H702" s="264"/>
    </row>
    <row r="703" spans="1:8" ht="45" customHeight="1" x14ac:dyDescent="0.25">
      <c r="A703" s="136">
        <f t="shared" si="10"/>
        <v>691</v>
      </c>
      <c r="B703" s="265"/>
      <c r="C703" s="386"/>
      <c r="D703" s="387"/>
      <c r="E703" s="264"/>
      <c r="F703" s="375"/>
      <c r="G703" s="376"/>
      <c r="H703" s="264"/>
    </row>
    <row r="704" spans="1:8" ht="45" customHeight="1" x14ac:dyDescent="0.25">
      <c r="A704" s="136">
        <f t="shared" si="10"/>
        <v>692</v>
      </c>
      <c r="B704" s="265"/>
      <c r="C704" s="386"/>
      <c r="D704" s="387"/>
      <c r="E704" s="264"/>
      <c r="F704" s="375"/>
      <c r="G704" s="376"/>
      <c r="H704" s="264"/>
    </row>
    <row r="705" spans="1:8" ht="45" customHeight="1" x14ac:dyDescent="0.25">
      <c r="A705" s="136">
        <f t="shared" si="10"/>
        <v>693</v>
      </c>
      <c r="B705" s="265"/>
      <c r="C705" s="386"/>
      <c r="D705" s="387"/>
      <c r="E705" s="264"/>
      <c r="F705" s="375"/>
      <c r="G705" s="376"/>
      <c r="H705" s="264"/>
    </row>
    <row r="706" spans="1:8" ht="45" customHeight="1" x14ac:dyDescent="0.25">
      <c r="A706" s="136">
        <f t="shared" si="10"/>
        <v>694</v>
      </c>
      <c r="B706" s="265"/>
      <c r="C706" s="386"/>
      <c r="D706" s="387"/>
      <c r="E706" s="264"/>
      <c r="F706" s="375"/>
      <c r="G706" s="376"/>
      <c r="H706" s="264"/>
    </row>
    <row r="707" spans="1:8" ht="45" customHeight="1" x14ac:dyDescent="0.25">
      <c r="A707" s="136">
        <f t="shared" si="10"/>
        <v>695</v>
      </c>
      <c r="B707" s="265"/>
      <c r="C707" s="386"/>
      <c r="D707" s="387"/>
      <c r="E707" s="264"/>
      <c r="F707" s="375"/>
      <c r="G707" s="376"/>
      <c r="H707" s="264"/>
    </row>
    <row r="708" spans="1:8" ht="45" customHeight="1" x14ac:dyDescent="0.25">
      <c r="A708" s="136">
        <f t="shared" si="10"/>
        <v>696</v>
      </c>
      <c r="B708" s="265"/>
      <c r="C708" s="386"/>
      <c r="D708" s="387"/>
      <c r="E708" s="264"/>
      <c r="F708" s="375"/>
      <c r="G708" s="376"/>
      <c r="H708" s="264"/>
    </row>
    <row r="709" spans="1:8" ht="45" customHeight="1" x14ac:dyDescent="0.25">
      <c r="A709" s="136">
        <f t="shared" si="10"/>
        <v>697</v>
      </c>
      <c r="B709" s="265"/>
      <c r="C709" s="386"/>
      <c r="D709" s="387"/>
      <c r="E709" s="264"/>
      <c r="F709" s="375"/>
      <c r="G709" s="376"/>
      <c r="H709" s="264"/>
    </row>
    <row r="710" spans="1:8" ht="45" customHeight="1" x14ac:dyDescent="0.25">
      <c r="A710" s="136">
        <f t="shared" si="10"/>
        <v>698</v>
      </c>
      <c r="B710" s="265"/>
      <c r="C710" s="386"/>
      <c r="D710" s="387"/>
      <c r="E710" s="264"/>
      <c r="F710" s="375"/>
      <c r="G710" s="376"/>
      <c r="H710" s="264"/>
    </row>
    <row r="711" spans="1:8" ht="45" customHeight="1" x14ac:dyDescent="0.25">
      <c r="A711" s="136">
        <f t="shared" si="10"/>
        <v>699</v>
      </c>
      <c r="B711" s="265"/>
      <c r="C711" s="386"/>
      <c r="D711" s="387"/>
      <c r="E711" s="264"/>
      <c r="F711" s="375"/>
      <c r="G711" s="376"/>
      <c r="H711" s="264"/>
    </row>
    <row r="712" spans="1:8" ht="45" customHeight="1" x14ac:dyDescent="0.25">
      <c r="A712" s="136">
        <f t="shared" si="10"/>
        <v>700</v>
      </c>
      <c r="B712" s="265"/>
      <c r="C712" s="386"/>
      <c r="D712" s="387"/>
      <c r="E712" s="264"/>
      <c r="F712" s="375"/>
      <c r="G712" s="376"/>
      <c r="H712" s="264"/>
    </row>
    <row r="713" spans="1:8" ht="45" customHeight="1" x14ac:dyDescent="0.25">
      <c r="A713" s="136">
        <f t="shared" si="10"/>
        <v>701</v>
      </c>
      <c r="B713" s="265"/>
      <c r="C713" s="386"/>
      <c r="D713" s="387"/>
      <c r="E713" s="264"/>
      <c r="F713" s="375"/>
      <c r="G713" s="376"/>
      <c r="H713" s="264"/>
    </row>
    <row r="714" spans="1:8" ht="45" customHeight="1" x14ac:dyDescent="0.25">
      <c r="A714" s="136">
        <f t="shared" si="10"/>
        <v>702</v>
      </c>
      <c r="B714" s="265"/>
      <c r="C714" s="386"/>
      <c r="D714" s="387"/>
      <c r="E714" s="264"/>
      <c r="F714" s="375"/>
      <c r="G714" s="376"/>
      <c r="H714" s="264"/>
    </row>
    <row r="715" spans="1:8" ht="45" customHeight="1" x14ac:dyDescent="0.25">
      <c r="A715" s="136">
        <f t="shared" si="10"/>
        <v>703</v>
      </c>
      <c r="B715" s="265"/>
      <c r="C715" s="386"/>
      <c r="D715" s="387"/>
      <c r="E715" s="264"/>
      <c r="F715" s="375"/>
      <c r="G715" s="376"/>
      <c r="H715" s="264"/>
    </row>
    <row r="716" spans="1:8" ht="45" customHeight="1" x14ac:dyDescent="0.25">
      <c r="A716" s="136">
        <f t="shared" si="10"/>
        <v>704</v>
      </c>
      <c r="B716" s="265"/>
      <c r="C716" s="386"/>
      <c r="D716" s="387"/>
      <c r="E716" s="264"/>
      <c r="F716" s="375"/>
      <c r="G716" s="376"/>
      <c r="H716" s="264"/>
    </row>
    <row r="717" spans="1:8" ht="45" customHeight="1" x14ac:dyDescent="0.25">
      <c r="A717" s="136">
        <f t="shared" si="10"/>
        <v>705</v>
      </c>
      <c r="B717" s="265"/>
      <c r="C717" s="386"/>
      <c r="D717" s="387"/>
      <c r="E717" s="264"/>
      <c r="F717" s="375"/>
      <c r="G717" s="376"/>
      <c r="H717" s="264"/>
    </row>
    <row r="718" spans="1:8" ht="45" customHeight="1" x14ac:dyDescent="0.25">
      <c r="A718" s="136">
        <f t="shared" ref="A718:A781" si="11">ROW(A706)</f>
        <v>706</v>
      </c>
      <c r="B718" s="265"/>
      <c r="C718" s="386"/>
      <c r="D718" s="387"/>
      <c r="E718" s="264"/>
      <c r="F718" s="375"/>
      <c r="G718" s="376"/>
      <c r="H718" s="264"/>
    </row>
    <row r="719" spans="1:8" ht="45" customHeight="1" x14ac:dyDescent="0.25">
      <c r="A719" s="136">
        <f t="shared" si="11"/>
        <v>707</v>
      </c>
      <c r="B719" s="265"/>
      <c r="C719" s="386"/>
      <c r="D719" s="387"/>
      <c r="E719" s="264"/>
      <c r="F719" s="375"/>
      <c r="G719" s="376"/>
      <c r="H719" s="264"/>
    </row>
    <row r="720" spans="1:8" ht="45" customHeight="1" x14ac:dyDescent="0.25">
      <c r="A720" s="136">
        <f t="shared" si="11"/>
        <v>708</v>
      </c>
      <c r="B720" s="265"/>
      <c r="C720" s="386"/>
      <c r="D720" s="387"/>
      <c r="E720" s="264"/>
      <c r="F720" s="375"/>
      <c r="G720" s="376"/>
      <c r="H720" s="264"/>
    </row>
    <row r="721" spans="1:8" ht="45" customHeight="1" x14ac:dyDescent="0.25">
      <c r="A721" s="136">
        <f t="shared" si="11"/>
        <v>709</v>
      </c>
      <c r="B721" s="265"/>
      <c r="C721" s="386"/>
      <c r="D721" s="387"/>
      <c r="E721" s="264"/>
      <c r="F721" s="375"/>
      <c r="G721" s="376"/>
      <c r="H721" s="264"/>
    </row>
    <row r="722" spans="1:8" ht="45" customHeight="1" x14ac:dyDescent="0.25">
      <c r="A722" s="136">
        <f t="shared" si="11"/>
        <v>710</v>
      </c>
      <c r="B722" s="265"/>
      <c r="C722" s="386"/>
      <c r="D722" s="387"/>
      <c r="E722" s="264"/>
      <c r="F722" s="375"/>
      <c r="G722" s="376"/>
      <c r="H722" s="264"/>
    </row>
    <row r="723" spans="1:8" ht="45" customHeight="1" x14ac:dyDescent="0.25">
      <c r="A723" s="136">
        <f t="shared" si="11"/>
        <v>711</v>
      </c>
      <c r="B723" s="265"/>
      <c r="C723" s="386"/>
      <c r="D723" s="387"/>
      <c r="E723" s="264"/>
      <c r="F723" s="375"/>
      <c r="G723" s="376"/>
      <c r="H723" s="264"/>
    </row>
    <row r="724" spans="1:8" ht="45" customHeight="1" x14ac:dyDescent="0.25">
      <c r="A724" s="136">
        <f t="shared" si="11"/>
        <v>712</v>
      </c>
      <c r="B724" s="265"/>
      <c r="C724" s="386"/>
      <c r="D724" s="387"/>
      <c r="E724" s="264"/>
      <c r="F724" s="375"/>
      <c r="G724" s="376"/>
      <c r="H724" s="264"/>
    </row>
    <row r="725" spans="1:8" ht="45" customHeight="1" x14ac:dyDescent="0.25">
      <c r="A725" s="136">
        <f t="shared" si="11"/>
        <v>713</v>
      </c>
      <c r="B725" s="265"/>
      <c r="C725" s="386"/>
      <c r="D725" s="387"/>
      <c r="E725" s="264"/>
      <c r="F725" s="375"/>
      <c r="G725" s="376"/>
      <c r="H725" s="264"/>
    </row>
    <row r="726" spans="1:8" ht="45" customHeight="1" x14ac:dyDescent="0.25">
      <c r="A726" s="136">
        <f t="shared" si="11"/>
        <v>714</v>
      </c>
      <c r="B726" s="265"/>
      <c r="C726" s="386"/>
      <c r="D726" s="387"/>
      <c r="E726" s="264"/>
      <c r="F726" s="375"/>
      <c r="G726" s="376"/>
      <c r="H726" s="264"/>
    </row>
    <row r="727" spans="1:8" ht="45" customHeight="1" x14ac:dyDescent="0.25">
      <c r="A727" s="136">
        <f t="shared" si="11"/>
        <v>715</v>
      </c>
      <c r="B727" s="265"/>
      <c r="C727" s="386"/>
      <c r="D727" s="387"/>
      <c r="E727" s="264"/>
      <c r="F727" s="375"/>
      <c r="G727" s="376"/>
      <c r="H727" s="264"/>
    </row>
    <row r="728" spans="1:8" ht="45" customHeight="1" x14ac:dyDescent="0.25">
      <c r="A728" s="136">
        <f t="shared" si="11"/>
        <v>716</v>
      </c>
      <c r="B728" s="265"/>
      <c r="C728" s="386"/>
      <c r="D728" s="387"/>
      <c r="E728" s="264"/>
      <c r="F728" s="375"/>
      <c r="G728" s="376"/>
      <c r="H728" s="264"/>
    </row>
    <row r="729" spans="1:8" ht="45" customHeight="1" x14ac:dyDescent="0.25">
      <c r="A729" s="136">
        <f t="shared" si="11"/>
        <v>717</v>
      </c>
      <c r="B729" s="265"/>
      <c r="C729" s="386"/>
      <c r="D729" s="387"/>
      <c r="E729" s="264"/>
      <c r="F729" s="375"/>
      <c r="G729" s="376"/>
      <c r="H729" s="264"/>
    </row>
    <row r="730" spans="1:8" ht="45" customHeight="1" x14ac:dyDescent="0.25">
      <c r="A730" s="136">
        <f t="shared" si="11"/>
        <v>718</v>
      </c>
      <c r="B730" s="265"/>
      <c r="C730" s="386"/>
      <c r="D730" s="387"/>
      <c r="E730" s="264"/>
      <c r="F730" s="375"/>
      <c r="G730" s="376"/>
      <c r="H730" s="264"/>
    </row>
    <row r="731" spans="1:8" ht="45" customHeight="1" x14ac:dyDescent="0.25">
      <c r="A731" s="136">
        <f t="shared" si="11"/>
        <v>719</v>
      </c>
      <c r="B731" s="265"/>
      <c r="C731" s="386"/>
      <c r="D731" s="387"/>
      <c r="E731" s="264"/>
      <c r="F731" s="375"/>
      <c r="G731" s="376"/>
      <c r="H731" s="264"/>
    </row>
    <row r="732" spans="1:8" ht="45" customHeight="1" x14ac:dyDescent="0.25">
      <c r="A732" s="136">
        <f t="shared" si="11"/>
        <v>720</v>
      </c>
      <c r="B732" s="265"/>
      <c r="C732" s="386"/>
      <c r="D732" s="387"/>
      <c r="E732" s="264"/>
      <c r="F732" s="375"/>
      <c r="G732" s="376"/>
      <c r="H732" s="264"/>
    </row>
    <row r="733" spans="1:8" ht="45" customHeight="1" x14ac:dyDescent="0.25">
      <c r="A733" s="136">
        <f t="shared" si="11"/>
        <v>721</v>
      </c>
      <c r="B733" s="265"/>
      <c r="C733" s="386"/>
      <c r="D733" s="387"/>
      <c r="E733" s="264"/>
      <c r="F733" s="375"/>
      <c r="G733" s="376"/>
      <c r="H733" s="264"/>
    </row>
    <row r="734" spans="1:8" ht="45" customHeight="1" x14ac:dyDescent="0.25">
      <c r="A734" s="136">
        <f t="shared" si="11"/>
        <v>722</v>
      </c>
      <c r="B734" s="265"/>
      <c r="C734" s="386"/>
      <c r="D734" s="387"/>
      <c r="E734" s="264"/>
      <c r="F734" s="375"/>
      <c r="G734" s="376"/>
      <c r="H734" s="264"/>
    </row>
    <row r="735" spans="1:8" ht="45" customHeight="1" x14ac:dyDescent="0.25">
      <c r="A735" s="136">
        <f t="shared" si="11"/>
        <v>723</v>
      </c>
      <c r="B735" s="265"/>
      <c r="C735" s="386"/>
      <c r="D735" s="387"/>
      <c r="E735" s="264"/>
      <c r="F735" s="375"/>
      <c r="G735" s="376"/>
      <c r="H735" s="264"/>
    </row>
    <row r="736" spans="1:8" ht="45" customHeight="1" x14ac:dyDescent="0.25">
      <c r="A736" s="136">
        <f t="shared" si="11"/>
        <v>724</v>
      </c>
      <c r="B736" s="265"/>
      <c r="C736" s="386"/>
      <c r="D736" s="387"/>
      <c r="E736" s="264"/>
      <c r="F736" s="375"/>
      <c r="G736" s="376"/>
      <c r="H736" s="264"/>
    </row>
    <row r="737" spans="1:8" ht="45" customHeight="1" x14ac:dyDescent="0.25">
      <c r="A737" s="136">
        <f t="shared" si="11"/>
        <v>725</v>
      </c>
      <c r="B737" s="265"/>
      <c r="C737" s="386"/>
      <c r="D737" s="387"/>
      <c r="E737" s="264"/>
      <c r="F737" s="375"/>
      <c r="G737" s="376"/>
      <c r="H737" s="264"/>
    </row>
    <row r="738" spans="1:8" ht="45" customHeight="1" x14ac:dyDescent="0.25">
      <c r="A738" s="136">
        <f t="shared" si="11"/>
        <v>726</v>
      </c>
      <c r="B738" s="265"/>
      <c r="C738" s="386"/>
      <c r="D738" s="387"/>
      <c r="E738" s="264"/>
      <c r="F738" s="375"/>
      <c r="G738" s="376"/>
      <c r="H738" s="264"/>
    </row>
    <row r="739" spans="1:8" ht="45" customHeight="1" x14ac:dyDescent="0.25">
      <c r="A739" s="136">
        <f t="shared" si="11"/>
        <v>727</v>
      </c>
      <c r="B739" s="265"/>
      <c r="C739" s="386"/>
      <c r="D739" s="387"/>
      <c r="E739" s="264"/>
      <c r="F739" s="375"/>
      <c r="G739" s="376"/>
      <c r="H739" s="264"/>
    </row>
    <row r="740" spans="1:8" ht="45" customHeight="1" x14ac:dyDescent="0.25">
      <c r="A740" s="136">
        <f t="shared" si="11"/>
        <v>728</v>
      </c>
      <c r="B740" s="265"/>
      <c r="C740" s="386"/>
      <c r="D740" s="387"/>
      <c r="E740" s="264"/>
      <c r="F740" s="375"/>
      <c r="G740" s="376"/>
      <c r="H740" s="264"/>
    </row>
    <row r="741" spans="1:8" ht="45" customHeight="1" x14ac:dyDescent="0.25">
      <c r="A741" s="136">
        <f t="shared" si="11"/>
        <v>729</v>
      </c>
      <c r="B741" s="265"/>
      <c r="C741" s="386"/>
      <c r="D741" s="387"/>
      <c r="E741" s="264"/>
      <c r="F741" s="375"/>
      <c r="G741" s="376"/>
      <c r="H741" s="264"/>
    </row>
    <row r="742" spans="1:8" ht="45" customHeight="1" x14ac:dyDescent="0.25">
      <c r="A742" s="136">
        <f t="shared" si="11"/>
        <v>730</v>
      </c>
      <c r="B742" s="265"/>
      <c r="C742" s="386"/>
      <c r="D742" s="387"/>
      <c r="E742" s="264"/>
      <c r="F742" s="375"/>
      <c r="G742" s="376"/>
      <c r="H742" s="264"/>
    </row>
    <row r="743" spans="1:8" ht="45" customHeight="1" x14ac:dyDescent="0.25">
      <c r="A743" s="136">
        <f t="shared" si="11"/>
        <v>731</v>
      </c>
      <c r="B743" s="265"/>
      <c r="C743" s="386"/>
      <c r="D743" s="387"/>
      <c r="E743" s="264"/>
      <c r="F743" s="375"/>
      <c r="G743" s="376"/>
      <c r="H743" s="264"/>
    </row>
    <row r="744" spans="1:8" ht="45" customHeight="1" x14ac:dyDescent="0.25">
      <c r="A744" s="136">
        <f t="shared" si="11"/>
        <v>732</v>
      </c>
      <c r="B744" s="265"/>
      <c r="C744" s="386"/>
      <c r="D744" s="387"/>
      <c r="E744" s="264"/>
      <c r="F744" s="375"/>
      <c r="G744" s="376"/>
      <c r="H744" s="264"/>
    </row>
    <row r="745" spans="1:8" ht="45" customHeight="1" x14ac:dyDescent="0.25">
      <c r="A745" s="136">
        <f t="shared" si="11"/>
        <v>733</v>
      </c>
      <c r="B745" s="265"/>
      <c r="C745" s="386"/>
      <c r="D745" s="387"/>
      <c r="E745" s="264"/>
      <c r="F745" s="375"/>
      <c r="G745" s="376"/>
      <c r="H745" s="264"/>
    </row>
    <row r="746" spans="1:8" ht="45" customHeight="1" x14ac:dyDescent="0.25">
      <c r="A746" s="136">
        <f t="shared" si="11"/>
        <v>734</v>
      </c>
      <c r="B746" s="265"/>
      <c r="C746" s="386"/>
      <c r="D746" s="387"/>
      <c r="E746" s="264"/>
      <c r="F746" s="375"/>
      <c r="G746" s="376"/>
      <c r="H746" s="264"/>
    </row>
    <row r="747" spans="1:8" ht="45" customHeight="1" x14ac:dyDescent="0.25">
      <c r="A747" s="136">
        <f t="shared" si="11"/>
        <v>735</v>
      </c>
      <c r="B747" s="265"/>
      <c r="C747" s="386"/>
      <c r="D747" s="387"/>
      <c r="E747" s="264"/>
      <c r="F747" s="375"/>
      <c r="G747" s="376"/>
      <c r="H747" s="264"/>
    </row>
    <row r="748" spans="1:8" ht="45" customHeight="1" x14ac:dyDescent="0.25">
      <c r="A748" s="136">
        <f t="shared" si="11"/>
        <v>736</v>
      </c>
      <c r="B748" s="265"/>
      <c r="C748" s="386"/>
      <c r="D748" s="387"/>
      <c r="E748" s="264"/>
      <c r="F748" s="375"/>
      <c r="G748" s="376"/>
      <c r="H748" s="264"/>
    </row>
    <row r="749" spans="1:8" ht="45" customHeight="1" x14ac:dyDescent="0.25">
      <c r="A749" s="136">
        <f t="shared" si="11"/>
        <v>737</v>
      </c>
      <c r="B749" s="265"/>
      <c r="C749" s="386"/>
      <c r="D749" s="387"/>
      <c r="E749" s="264"/>
      <c r="F749" s="375"/>
      <c r="G749" s="376"/>
      <c r="H749" s="264"/>
    </row>
    <row r="750" spans="1:8" ht="45" customHeight="1" x14ac:dyDescent="0.25">
      <c r="A750" s="136">
        <f t="shared" si="11"/>
        <v>738</v>
      </c>
      <c r="B750" s="265"/>
      <c r="C750" s="386"/>
      <c r="D750" s="387"/>
      <c r="E750" s="264"/>
      <c r="F750" s="375"/>
      <c r="G750" s="376"/>
      <c r="H750" s="264"/>
    </row>
    <row r="751" spans="1:8" ht="45" customHeight="1" x14ac:dyDescent="0.25">
      <c r="A751" s="136">
        <f t="shared" si="11"/>
        <v>739</v>
      </c>
      <c r="B751" s="265"/>
      <c r="C751" s="386"/>
      <c r="D751" s="387"/>
      <c r="E751" s="264"/>
      <c r="F751" s="375"/>
      <c r="G751" s="376"/>
      <c r="H751" s="264"/>
    </row>
    <row r="752" spans="1:8" ht="45" customHeight="1" x14ac:dyDescent="0.25">
      <c r="A752" s="136">
        <f t="shared" si="11"/>
        <v>740</v>
      </c>
      <c r="B752" s="265"/>
      <c r="C752" s="386"/>
      <c r="D752" s="387"/>
      <c r="E752" s="264"/>
      <c r="F752" s="375"/>
      <c r="G752" s="376"/>
      <c r="H752" s="264"/>
    </row>
    <row r="753" spans="1:8" ht="45" customHeight="1" x14ac:dyDescent="0.25">
      <c r="A753" s="136">
        <f t="shared" si="11"/>
        <v>741</v>
      </c>
      <c r="B753" s="265"/>
      <c r="C753" s="386"/>
      <c r="D753" s="387"/>
      <c r="E753" s="264"/>
      <c r="F753" s="375"/>
      <c r="G753" s="376"/>
      <c r="H753" s="264"/>
    </row>
    <row r="754" spans="1:8" ht="45" customHeight="1" x14ac:dyDescent="0.25">
      <c r="A754" s="136">
        <f t="shared" si="11"/>
        <v>742</v>
      </c>
      <c r="B754" s="265"/>
      <c r="C754" s="386"/>
      <c r="D754" s="387"/>
      <c r="E754" s="264"/>
      <c r="F754" s="375"/>
      <c r="G754" s="376"/>
      <c r="H754" s="264"/>
    </row>
    <row r="755" spans="1:8" ht="45" customHeight="1" x14ac:dyDescent="0.25">
      <c r="A755" s="136">
        <f t="shared" si="11"/>
        <v>743</v>
      </c>
      <c r="B755" s="265"/>
      <c r="C755" s="386"/>
      <c r="D755" s="387"/>
      <c r="E755" s="264"/>
      <c r="F755" s="375"/>
      <c r="G755" s="376"/>
      <c r="H755" s="264"/>
    </row>
    <row r="756" spans="1:8" ht="45" customHeight="1" x14ac:dyDescent="0.25">
      <c r="A756" s="136">
        <f t="shared" si="11"/>
        <v>744</v>
      </c>
      <c r="B756" s="265"/>
      <c r="C756" s="386"/>
      <c r="D756" s="387"/>
      <c r="E756" s="264"/>
      <c r="F756" s="375"/>
      <c r="G756" s="376"/>
      <c r="H756" s="264"/>
    </row>
    <row r="757" spans="1:8" ht="45" customHeight="1" x14ac:dyDescent="0.25">
      <c r="A757" s="136">
        <f t="shared" si="11"/>
        <v>745</v>
      </c>
      <c r="B757" s="265"/>
      <c r="C757" s="386"/>
      <c r="D757" s="387"/>
      <c r="E757" s="264"/>
      <c r="F757" s="375"/>
      <c r="G757" s="376"/>
      <c r="H757" s="264"/>
    </row>
    <row r="758" spans="1:8" ht="45" customHeight="1" x14ac:dyDescent="0.25">
      <c r="A758" s="136">
        <f t="shared" si="11"/>
        <v>746</v>
      </c>
      <c r="B758" s="265"/>
      <c r="C758" s="386"/>
      <c r="D758" s="387"/>
      <c r="E758" s="264"/>
      <c r="F758" s="375"/>
      <c r="G758" s="376"/>
      <c r="H758" s="264"/>
    </row>
    <row r="759" spans="1:8" ht="45" customHeight="1" x14ac:dyDescent="0.25">
      <c r="A759" s="136">
        <f t="shared" si="11"/>
        <v>747</v>
      </c>
      <c r="B759" s="265"/>
      <c r="C759" s="386"/>
      <c r="D759" s="387"/>
      <c r="E759" s="264"/>
      <c r="F759" s="375"/>
      <c r="G759" s="376"/>
      <c r="H759" s="264"/>
    </row>
    <row r="760" spans="1:8" ht="45" customHeight="1" x14ac:dyDescent="0.25">
      <c r="A760" s="136">
        <f t="shared" si="11"/>
        <v>748</v>
      </c>
      <c r="B760" s="265"/>
      <c r="C760" s="386"/>
      <c r="D760" s="387"/>
      <c r="E760" s="264"/>
      <c r="F760" s="375"/>
      <c r="G760" s="376"/>
      <c r="H760" s="264"/>
    </row>
    <row r="761" spans="1:8" ht="45" customHeight="1" x14ac:dyDescent="0.25">
      <c r="A761" s="136">
        <f t="shared" si="11"/>
        <v>749</v>
      </c>
      <c r="B761" s="265"/>
      <c r="C761" s="386"/>
      <c r="D761" s="387"/>
      <c r="E761" s="264"/>
      <c r="F761" s="375"/>
      <c r="G761" s="376"/>
      <c r="H761" s="264"/>
    </row>
    <row r="762" spans="1:8" ht="45" customHeight="1" x14ac:dyDescent="0.25">
      <c r="A762" s="136">
        <f t="shared" si="11"/>
        <v>750</v>
      </c>
      <c r="B762" s="265"/>
      <c r="C762" s="386"/>
      <c r="D762" s="387"/>
      <c r="E762" s="264"/>
      <c r="F762" s="375"/>
      <c r="G762" s="376"/>
      <c r="H762" s="264"/>
    </row>
    <row r="763" spans="1:8" ht="45" customHeight="1" x14ac:dyDescent="0.25">
      <c r="A763" s="136">
        <f t="shared" si="11"/>
        <v>751</v>
      </c>
      <c r="B763" s="265"/>
      <c r="C763" s="386"/>
      <c r="D763" s="387"/>
      <c r="E763" s="264"/>
      <c r="F763" s="375"/>
      <c r="G763" s="376"/>
      <c r="H763" s="264"/>
    </row>
    <row r="764" spans="1:8" ht="45" customHeight="1" x14ac:dyDescent="0.25">
      <c r="A764" s="136">
        <f t="shared" si="11"/>
        <v>752</v>
      </c>
      <c r="B764" s="265"/>
      <c r="C764" s="386"/>
      <c r="D764" s="387"/>
      <c r="E764" s="264"/>
      <c r="F764" s="375"/>
      <c r="G764" s="376"/>
      <c r="H764" s="264"/>
    </row>
    <row r="765" spans="1:8" ht="45" customHeight="1" x14ac:dyDescent="0.25">
      <c r="A765" s="136">
        <f t="shared" si="11"/>
        <v>753</v>
      </c>
      <c r="B765" s="265"/>
      <c r="C765" s="386"/>
      <c r="D765" s="387"/>
      <c r="E765" s="264"/>
      <c r="F765" s="375"/>
      <c r="G765" s="376"/>
      <c r="H765" s="264"/>
    </row>
    <row r="766" spans="1:8" ht="45" customHeight="1" x14ac:dyDescent="0.25">
      <c r="A766" s="136">
        <f t="shared" si="11"/>
        <v>754</v>
      </c>
      <c r="B766" s="265"/>
      <c r="C766" s="386"/>
      <c r="D766" s="387"/>
      <c r="E766" s="264"/>
      <c r="F766" s="375"/>
      <c r="G766" s="376"/>
      <c r="H766" s="264"/>
    </row>
    <row r="767" spans="1:8" ht="45" customHeight="1" x14ac:dyDescent="0.25">
      <c r="A767" s="136">
        <f t="shared" si="11"/>
        <v>755</v>
      </c>
      <c r="B767" s="265"/>
      <c r="C767" s="386"/>
      <c r="D767" s="387"/>
      <c r="E767" s="264"/>
      <c r="F767" s="375"/>
      <c r="G767" s="376"/>
      <c r="H767" s="264"/>
    </row>
    <row r="768" spans="1:8" ht="45" customHeight="1" x14ac:dyDescent="0.25">
      <c r="A768" s="136">
        <f t="shared" si="11"/>
        <v>756</v>
      </c>
      <c r="B768" s="265"/>
      <c r="C768" s="386"/>
      <c r="D768" s="387"/>
      <c r="E768" s="264"/>
      <c r="F768" s="375"/>
      <c r="G768" s="376"/>
      <c r="H768" s="264"/>
    </row>
    <row r="769" spans="1:8" ht="45" customHeight="1" x14ac:dyDescent="0.25">
      <c r="A769" s="136">
        <f t="shared" si="11"/>
        <v>757</v>
      </c>
      <c r="B769" s="265"/>
      <c r="C769" s="386"/>
      <c r="D769" s="387"/>
      <c r="E769" s="264"/>
      <c r="F769" s="375"/>
      <c r="G769" s="376"/>
      <c r="H769" s="264"/>
    </row>
    <row r="770" spans="1:8" ht="45" customHeight="1" x14ac:dyDescent="0.25">
      <c r="A770" s="136">
        <f t="shared" si="11"/>
        <v>758</v>
      </c>
      <c r="B770" s="265"/>
      <c r="C770" s="386"/>
      <c r="D770" s="387"/>
      <c r="E770" s="264"/>
      <c r="F770" s="375"/>
      <c r="G770" s="376"/>
      <c r="H770" s="264"/>
    </row>
    <row r="771" spans="1:8" ht="45" customHeight="1" x14ac:dyDescent="0.25">
      <c r="A771" s="136">
        <f t="shared" si="11"/>
        <v>759</v>
      </c>
      <c r="B771" s="265"/>
      <c r="C771" s="386"/>
      <c r="D771" s="387"/>
      <c r="E771" s="264"/>
      <c r="F771" s="375"/>
      <c r="G771" s="376"/>
      <c r="H771" s="264"/>
    </row>
    <row r="772" spans="1:8" ht="45" customHeight="1" x14ac:dyDescent="0.25">
      <c r="A772" s="136">
        <f t="shared" si="11"/>
        <v>760</v>
      </c>
      <c r="B772" s="265"/>
      <c r="C772" s="386"/>
      <c r="D772" s="387"/>
      <c r="E772" s="264"/>
      <c r="F772" s="375"/>
      <c r="G772" s="376"/>
      <c r="H772" s="264"/>
    </row>
    <row r="773" spans="1:8" ht="45" customHeight="1" x14ac:dyDescent="0.25">
      <c r="A773" s="136">
        <f t="shared" si="11"/>
        <v>761</v>
      </c>
      <c r="B773" s="265"/>
      <c r="C773" s="386"/>
      <c r="D773" s="387"/>
      <c r="E773" s="264"/>
      <c r="F773" s="375"/>
      <c r="G773" s="376"/>
      <c r="H773" s="264"/>
    </row>
    <row r="774" spans="1:8" ht="45" customHeight="1" x14ac:dyDescent="0.25">
      <c r="A774" s="136">
        <f t="shared" si="11"/>
        <v>762</v>
      </c>
      <c r="B774" s="265"/>
      <c r="C774" s="386"/>
      <c r="D774" s="387"/>
      <c r="E774" s="264"/>
      <c r="F774" s="375"/>
      <c r="G774" s="376"/>
      <c r="H774" s="264"/>
    </row>
    <row r="775" spans="1:8" ht="45" customHeight="1" x14ac:dyDescent="0.25">
      <c r="A775" s="136">
        <f t="shared" si="11"/>
        <v>763</v>
      </c>
      <c r="B775" s="265"/>
      <c r="C775" s="386"/>
      <c r="D775" s="387"/>
      <c r="E775" s="264"/>
      <c r="F775" s="375"/>
      <c r="G775" s="376"/>
      <c r="H775" s="264"/>
    </row>
    <row r="776" spans="1:8" ht="45" customHeight="1" x14ac:dyDescent="0.25">
      <c r="A776" s="136">
        <f t="shared" si="11"/>
        <v>764</v>
      </c>
      <c r="B776" s="265"/>
      <c r="C776" s="386"/>
      <c r="D776" s="387"/>
      <c r="E776" s="264"/>
      <c r="F776" s="375"/>
      <c r="G776" s="376"/>
      <c r="H776" s="264"/>
    </row>
    <row r="777" spans="1:8" ht="45" customHeight="1" x14ac:dyDescent="0.25">
      <c r="A777" s="136">
        <f t="shared" si="11"/>
        <v>765</v>
      </c>
      <c r="B777" s="265"/>
      <c r="C777" s="386"/>
      <c r="D777" s="387"/>
      <c r="E777" s="264"/>
      <c r="F777" s="375"/>
      <c r="G777" s="376"/>
      <c r="H777" s="264"/>
    </row>
    <row r="778" spans="1:8" ht="45" customHeight="1" x14ac:dyDescent="0.25">
      <c r="A778" s="136">
        <f t="shared" si="11"/>
        <v>766</v>
      </c>
      <c r="B778" s="265"/>
      <c r="C778" s="386"/>
      <c r="D778" s="387"/>
      <c r="E778" s="264"/>
      <c r="F778" s="375"/>
      <c r="G778" s="376"/>
      <c r="H778" s="264"/>
    </row>
    <row r="779" spans="1:8" ht="45" customHeight="1" x14ac:dyDescent="0.25">
      <c r="A779" s="136">
        <f t="shared" si="11"/>
        <v>767</v>
      </c>
      <c r="B779" s="265"/>
      <c r="C779" s="386"/>
      <c r="D779" s="387"/>
      <c r="E779" s="264"/>
      <c r="F779" s="375"/>
      <c r="G779" s="376"/>
      <c r="H779" s="264"/>
    </row>
    <row r="780" spans="1:8" ht="45" customHeight="1" x14ac:dyDescent="0.25">
      <c r="A780" s="136">
        <f t="shared" si="11"/>
        <v>768</v>
      </c>
      <c r="B780" s="265"/>
      <c r="C780" s="386"/>
      <c r="D780" s="387"/>
      <c r="E780" s="264"/>
      <c r="F780" s="375"/>
      <c r="G780" s="376"/>
      <c r="H780" s="264"/>
    </row>
    <row r="781" spans="1:8" ht="45" customHeight="1" x14ac:dyDescent="0.25">
      <c r="A781" s="136">
        <f t="shared" si="11"/>
        <v>769</v>
      </c>
      <c r="B781" s="265"/>
      <c r="C781" s="386"/>
      <c r="D781" s="387"/>
      <c r="E781" s="264"/>
      <c r="F781" s="375"/>
      <c r="G781" s="376"/>
      <c r="H781" s="264"/>
    </row>
    <row r="782" spans="1:8" ht="45" customHeight="1" x14ac:dyDescent="0.25">
      <c r="A782" s="136">
        <f t="shared" ref="A782:A845" si="12">ROW(A770)</f>
        <v>770</v>
      </c>
      <c r="B782" s="265"/>
      <c r="C782" s="386"/>
      <c r="D782" s="387"/>
      <c r="E782" s="264"/>
      <c r="F782" s="375"/>
      <c r="G782" s="376"/>
      <c r="H782" s="264"/>
    </row>
    <row r="783" spans="1:8" ht="45" customHeight="1" x14ac:dyDescent="0.25">
      <c r="A783" s="136">
        <f t="shared" si="12"/>
        <v>771</v>
      </c>
      <c r="B783" s="265"/>
      <c r="C783" s="386"/>
      <c r="D783" s="387"/>
      <c r="E783" s="264"/>
      <c r="F783" s="375"/>
      <c r="G783" s="376"/>
      <c r="H783" s="264"/>
    </row>
    <row r="784" spans="1:8" ht="45" customHeight="1" x14ac:dyDescent="0.25">
      <c r="A784" s="136">
        <f t="shared" si="12"/>
        <v>772</v>
      </c>
      <c r="B784" s="265"/>
      <c r="C784" s="386"/>
      <c r="D784" s="387"/>
      <c r="E784" s="264"/>
      <c r="F784" s="375"/>
      <c r="G784" s="376"/>
      <c r="H784" s="264"/>
    </row>
    <row r="785" spans="1:8" ht="45" customHeight="1" x14ac:dyDescent="0.25">
      <c r="A785" s="136">
        <f t="shared" si="12"/>
        <v>773</v>
      </c>
      <c r="B785" s="265"/>
      <c r="C785" s="386"/>
      <c r="D785" s="387"/>
      <c r="E785" s="264"/>
      <c r="F785" s="375"/>
      <c r="G785" s="376"/>
      <c r="H785" s="264"/>
    </row>
    <row r="786" spans="1:8" ht="45" customHeight="1" x14ac:dyDescent="0.25">
      <c r="A786" s="136">
        <f t="shared" si="12"/>
        <v>774</v>
      </c>
      <c r="B786" s="265"/>
      <c r="C786" s="386"/>
      <c r="D786" s="387"/>
      <c r="E786" s="264"/>
      <c r="F786" s="375"/>
      <c r="G786" s="376"/>
      <c r="H786" s="264"/>
    </row>
    <row r="787" spans="1:8" ht="45" customHeight="1" x14ac:dyDescent="0.25">
      <c r="A787" s="136">
        <f t="shared" si="12"/>
        <v>775</v>
      </c>
      <c r="B787" s="265"/>
      <c r="C787" s="386"/>
      <c r="D787" s="387"/>
      <c r="E787" s="264"/>
      <c r="F787" s="375"/>
      <c r="G787" s="376"/>
      <c r="H787" s="264"/>
    </row>
    <row r="788" spans="1:8" ht="45" customHeight="1" x14ac:dyDescent="0.25">
      <c r="A788" s="136">
        <f t="shared" si="12"/>
        <v>776</v>
      </c>
      <c r="B788" s="265"/>
      <c r="C788" s="386"/>
      <c r="D788" s="387"/>
      <c r="E788" s="264"/>
      <c r="F788" s="375"/>
      <c r="G788" s="376"/>
      <c r="H788" s="264"/>
    </row>
    <row r="789" spans="1:8" ht="45" customHeight="1" x14ac:dyDescent="0.25">
      <c r="A789" s="136">
        <f t="shared" si="12"/>
        <v>777</v>
      </c>
      <c r="B789" s="265"/>
      <c r="C789" s="386"/>
      <c r="D789" s="387"/>
      <c r="E789" s="264"/>
      <c r="F789" s="375"/>
      <c r="G789" s="376"/>
      <c r="H789" s="264"/>
    </row>
    <row r="790" spans="1:8" ht="45" customHeight="1" x14ac:dyDescent="0.25">
      <c r="A790" s="136">
        <f t="shared" si="12"/>
        <v>778</v>
      </c>
      <c r="B790" s="265"/>
      <c r="C790" s="386"/>
      <c r="D790" s="387"/>
      <c r="E790" s="264"/>
      <c r="F790" s="375"/>
      <c r="G790" s="376"/>
      <c r="H790" s="264"/>
    </row>
    <row r="791" spans="1:8" ht="45" customHeight="1" x14ac:dyDescent="0.25">
      <c r="A791" s="136">
        <f t="shared" si="12"/>
        <v>779</v>
      </c>
      <c r="B791" s="265"/>
      <c r="C791" s="386"/>
      <c r="D791" s="387"/>
      <c r="E791" s="264"/>
      <c r="F791" s="375"/>
      <c r="G791" s="376"/>
      <c r="H791" s="264"/>
    </row>
    <row r="792" spans="1:8" ht="45" customHeight="1" x14ac:dyDescent="0.25">
      <c r="A792" s="136">
        <f t="shared" si="12"/>
        <v>780</v>
      </c>
      <c r="B792" s="265"/>
      <c r="C792" s="386"/>
      <c r="D792" s="387"/>
      <c r="E792" s="264"/>
      <c r="F792" s="375"/>
      <c r="G792" s="376"/>
      <c r="H792" s="264"/>
    </row>
    <row r="793" spans="1:8" ht="45" customHeight="1" x14ac:dyDescent="0.25">
      <c r="A793" s="136">
        <f t="shared" si="12"/>
        <v>781</v>
      </c>
      <c r="B793" s="265"/>
      <c r="C793" s="386"/>
      <c r="D793" s="387"/>
      <c r="E793" s="264"/>
      <c r="F793" s="375"/>
      <c r="G793" s="376"/>
      <c r="H793" s="264"/>
    </row>
    <row r="794" spans="1:8" ht="45" customHeight="1" x14ac:dyDescent="0.25">
      <c r="A794" s="136">
        <f t="shared" si="12"/>
        <v>782</v>
      </c>
      <c r="B794" s="265"/>
      <c r="C794" s="386"/>
      <c r="D794" s="387"/>
      <c r="E794" s="264"/>
      <c r="F794" s="375"/>
      <c r="G794" s="376"/>
      <c r="H794" s="264"/>
    </row>
    <row r="795" spans="1:8" ht="45" customHeight="1" x14ac:dyDescent="0.25">
      <c r="A795" s="136">
        <f t="shared" si="12"/>
        <v>783</v>
      </c>
      <c r="B795" s="265"/>
      <c r="C795" s="386"/>
      <c r="D795" s="387"/>
      <c r="E795" s="264"/>
      <c r="F795" s="375"/>
      <c r="G795" s="376"/>
      <c r="H795" s="264"/>
    </row>
    <row r="796" spans="1:8" ht="45" customHeight="1" x14ac:dyDescent="0.25">
      <c r="A796" s="136">
        <f t="shared" si="12"/>
        <v>784</v>
      </c>
      <c r="B796" s="265"/>
      <c r="C796" s="386"/>
      <c r="D796" s="387"/>
      <c r="E796" s="264"/>
      <c r="F796" s="375"/>
      <c r="G796" s="376"/>
      <c r="H796" s="264"/>
    </row>
    <row r="797" spans="1:8" ht="45" customHeight="1" x14ac:dyDescent="0.25">
      <c r="A797" s="136">
        <f t="shared" si="12"/>
        <v>785</v>
      </c>
      <c r="B797" s="265"/>
      <c r="C797" s="386"/>
      <c r="D797" s="387"/>
      <c r="E797" s="264"/>
      <c r="F797" s="375"/>
      <c r="G797" s="376"/>
      <c r="H797" s="264"/>
    </row>
    <row r="798" spans="1:8" ht="45" customHeight="1" x14ac:dyDescent="0.25">
      <c r="A798" s="136">
        <f t="shared" si="12"/>
        <v>786</v>
      </c>
      <c r="B798" s="265"/>
      <c r="C798" s="386"/>
      <c r="D798" s="387"/>
      <c r="E798" s="264"/>
      <c r="F798" s="375"/>
      <c r="G798" s="376"/>
      <c r="H798" s="264"/>
    </row>
    <row r="799" spans="1:8" ht="45" customHeight="1" x14ac:dyDescent="0.25">
      <c r="A799" s="136">
        <f t="shared" si="12"/>
        <v>787</v>
      </c>
      <c r="B799" s="265"/>
      <c r="C799" s="386"/>
      <c r="D799" s="387"/>
      <c r="E799" s="264"/>
      <c r="F799" s="375"/>
      <c r="G799" s="376"/>
      <c r="H799" s="264"/>
    </row>
    <row r="800" spans="1:8" ht="45" customHeight="1" x14ac:dyDescent="0.25">
      <c r="A800" s="136">
        <f t="shared" si="12"/>
        <v>788</v>
      </c>
      <c r="B800" s="265"/>
      <c r="C800" s="386"/>
      <c r="D800" s="387"/>
      <c r="E800" s="264"/>
      <c r="F800" s="375"/>
      <c r="G800" s="376"/>
      <c r="H800" s="264"/>
    </row>
    <row r="801" spans="1:8" ht="45" customHeight="1" x14ac:dyDescent="0.25">
      <c r="A801" s="136">
        <f t="shared" si="12"/>
        <v>789</v>
      </c>
      <c r="B801" s="265"/>
      <c r="C801" s="386"/>
      <c r="D801" s="387"/>
      <c r="E801" s="264"/>
      <c r="F801" s="375"/>
      <c r="G801" s="376"/>
      <c r="H801" s="264"/>
    </row>
    <row r="802" spans="1:8" ht="45" customHeight="1" x14ac:dyDescent="0.25">
      <c r="A802" s="136">
        <f t="shared" si="12"/>
        <v>790</v>
      </c>
      <c r="B802" s="265"/>
      <c r="C802" s="386"/>
      <c r="D802" s="387"/>
      <c r="E802" s="264"/>
      <c r="F802" s="375"/>
      <c r="G802" s="376"/>
      <c r="H802" s="264"/>
    </row>
    <row r="803" spans="1:8" ht="45" customHeight="1" x14ac:dyDescent="0.25">
      <c r="A803" s="136">
        <f t="shared" si="12"/>
        <v>791</v>
      </c>
      <c r="B803" s="265"/>
      <c r="C803" s="386"/>
      <c r="D803" s="387"/>
      <c r="E803" s="264"/>
      <c r="F803" s="375"/>
      <c r="G803" s="376"/>
      <c r="H803" s="264"/>
    </row>
    <row r="804" spans="1:8" ht="45" customHeight="1" x14ac:dyDescent="0.25">
      <c r="A804" s="136">
        <f t="shared" si="12"/>
        <v>792</v>
      </c>
      <c r="B804" s="265"/>
      <c r="C804" s="386"/>
      <c r="D804" s="387"/>
      <c r="E804" s="264"/>
      <c r="F804" s="375"/>
      <c r="G804" s="376"/>
      <c r="H804" s="264"/>
    </row>
    <row r="805" spans="1:8" ht="45" customHeight="1" x14ac:dyDescent="0.25">
      <c r="A805" s="136">
        <f t="shared" si="12"/>
        <v>793</v>
      </c>
      <c r="B805" s="265"/>
      <c r="C805" s="386"/>
      <c r="D805" s="387"/>
      <c r="E805" s="264"/>
      <c r="F805" s="375"/>
      <c r="G805" s="376"/>
      <c r="H805" s="264"/>
    </row>
    <row r="806" spans="1:8" ht="45" customHeight="1" x14ac:dyDescent="0.25">
      <c r="A806" s="136">
        <f t="shared" si="12"/>
        <v>794</v>
      </c>
      <c r="B806" s="265"/>
      <c r="C806" s="386"/>
      <c r="D806" s="387"/>
      <c r="E806" s="264"/>
      <c r="F806" s="375"/>
      <c r="G806" s="376"/>
      <c r="H806" s="264"/>
    </row>
    <row r="807" spans="1:8" ht="45" customHeight="1" x14ac:dyDescent="0.25">
      <c r="A807" s="136">
        <f t="shared" si="12"/>
        <v>795</v>
      </c>
      <c r="B807" s="265"/>
      <c r="C807" s="386"/>
      <c r="D807" s="387"/>
      <c r="E807" s="264"/>
      <c r="F807" s="375"/>
      <c r="G807" s="376"/>
      <c r="H807" s="264"/>
    </row>
    <row r="808" spans="1:8" ht="45" customHeight="1" x14ac:dyDescent="0.25">
      <c r="A808" s="136">
        <f t="shared" si="12"/>
        <v>796</v>
      </c>
      <c r="B808" s="265"/>
      <c r="C808" s="386"/>
      <c r="D808" s="387"/>
      <c r="E808" s="264"/>
      <c r="F808" s="375"/>
      <c r="G808" s="376"/>
      <c r="H808" s="264"/>
    </row>
    <row r="809" spans="1:8" ht="45" customHeight="1" x14ac:dyDescent="0.25">
      <c r="A809" s="136">
        <f t="shared" si="12"/>
        <v>797</v>
      </c>
      <c r="B809" s="265"/>
      <c r="C809" s="386"/>
      <c r="D809" s="387"/>
      <c r="E809" s="264"/>
      <c r="F809" s="375"/>
      <c r="G809" s="376"/>
      <c r="H809" s="264"/>
    </row>
    <row r="810" spans="1:8" ht="45" customHeight="1" x14ac:dyDescent="0.25">
      <c r="A810" s="136">
        <f t="shared" si="12"/>
        <v>798</v>
      </c>
      <c r="B810" s="265"/>
      <c r="C810" s="386"/>
      <c r="D810" s="387"/>
      <c r="E810" s="264"/>
      <c r="F810" s="375"/>
      <c r="G810" s="376"/>
      <c r="H810" s="264"/>
    </row>
    <row r="811" spans="1:8" ht="45" customHeight="1" x14ac:dyDescent="0.25">
      <c r="A811" s="136">
        <f t="shared" si="12"/>
        <v>799</v>
      </c>
      <c r="B811" s="265"/>
      <c r="C811" s="386"/>
      <c r="D811" s="387"/>
      <c r="E811" s="264"/>
      <c r="F811" s="375"/>
      <c r="G811" s="376"/>
      <c r="H811" s="264"/>
    </row>
    <row r="812" spans="1:8" ht="45" customHeight="1" x14ac:dyDescent="0.25">
      <c r="A812" s="136">
        <f t="shared" si="12"/>
        <v>800</v>
      </c>
      <c r="B812" s="265"/>
      <c r="C812" s="386"/>
      <c r="D812" s="387"/>
      <c r="E812" s="264"/>
      <c r="F812" s="375"/>
      <c r="G812" s="376"/>
      <c r="H812" s="264"/>
    </row>
    <row r="813" spans="1:8" ht="45" customHeight="1" x14ac:dyDescent="0.25">
      <c r="A813" s="136">
        <f t="shared" si="12"/>
        <v>801</v>
      </c>
      <c r="B813" s="265"/>
      <c r="C813" s="386"/>
      <c r="D813" s="387"/>
      <c r="E813" s="264"/>
      <c r="F813" s="375"/>
      <c r="G813" s="376"/>
      <c r="H813" s="264"/>
    </row>
    <row r="814" spans="1:8" ht="45" customHeight="1" x14ac:dyDescent="0.25">
      <c r="A814" s="136">
        <f t="shared" si="12"/>
        <v>802</v>
      </c>
      <c r="B814" s="265"/>
      <c r="C814" s="386"/>
      <c r="D814" s="387"/>
      <c r="E814" s="264"/>
      <c r="F814" s="375"/>
      <c r="G814" s="376"/>
      <c r="H814" s="264"/>
    </row>
    <row r="815" spans="1:8" ht="45" customHeight="1" x14ac:dyDescent="0.25">
      <c r="A815" s="136">
        <f t="shared" si="12"/>
        <v>803</v>
      </c>
      <c r="B815" s="265"/>
      <c r="C815" s="386"/>
      <c r="D815" s="387"/>
      <c r="E815" s="264"/>
      <c r="F815" s="375"/>
      <c r="G815" s="376"/>
      <c r="H815" s="264"/>
    </row>
    <row r="816" spans="1:8" ht="45" customHeight="1" x14ac:dyDescent="0.25">
      <c r="A816" s="136">
        <f t="shared" si="12"/>
        <v>804</v>
      </c>
      <c r="B816" s="265"/>
      <c r="C816" s="386"/>
      <c r="D816" s="387"/>
      <c r="E816" s="264"/>
      <c r="F816" s="375"/>
      <c r="G816" s="376"/>
      <c r="H816" s="264"/>
    </row>
    <row r="817" spans="1:8" ht="45" customHeight="1" x14ac:dyDescent="0.25">
      <c r="A817" s="136">
        <f t="shared" si="12"/>
        <v>805</v>
      </c>
      <c r="B817" s="265"/>
      <c r="C817" s="386"/>
      <c r="D817" s="387"/>
      <c r="E817" s="264"/>
      <c r="F817" s="375"/>
      <c r="G817" s="376"/>
      <c r="H817" s="264"/>
    </row>
    <row r="818" spans="1:8" ht="45" customHeight="1" x14ac:dyDescent="0.25">
      <c r="A818" s="136">
        <f t="shared" si="12"/>
        <v>806</v>
      </c>
      <c r="B818" s="265"/>
      <c r="C818" s="386"/>
      <c r="D818" s="387"/>
      <c r="E818" s="264"/>
      <c r="F818" s="375"/>
      <c r="G818" s="376"/>
      <c r="H818" s="264"/>
    </row>
    <row r="819" spans="1:8" ht="45" customHeight="1" x14ac:dyDescent="0.25">
      <c r="A819" s="136">
        <f t="shared" si="12"/>
        <v>807</v>
      </c>
      <c r="B819" s="265"/>
      <c r="C819" s="386"/>
      <c r="D819" s="387"/>
      <c r="E819" s="264"/>
      <c r="F819" s="375"/>
      <c r="G819" s="376"/>
      <c r="H819" s="264"/>
    </row>
    <row r="820" spans="1:8" ht="45" customHeight="1" x14ac:dyDescent="0.25">
      <c r="A820" s="136">
        <f t="shared" si="12"/>
        <v>808</v>
      </c>
      <c r="B820" s="265"/>
      <c r="C820" s="386"/>
      <c r="D820" s="387"/>
      <c r="E820" s="264"/>
      <c r="F820" s="375"/>
      <c r="G820" s="376"/>
      <c r="H820" s="264"/>
    </row>
    <row r="821" spans="1:8" ht="45" customHeight="1" x14ac:dyDescent="0.25">
      <c r="A821" s="136">
        <f t="shared" si="12"/>
        <v>809</v>
      </c>
      <c r="B821" s="265"/>
      <c r="C821" s="386"/>
      <c r="D821" s="387"/>
      <c r="E821" s="264"/>
      <c r="F821" s="375"/>
      <c r="G821" s="376"/>
      <c r="H821" s="264"/>
    </row>
    <row r="822" spans="1:8" ht="45" customHeight="1" x14ac:dyDescent="0.25">
      <c r="A822" s="136">
        <f t="shared" si="12"/>
        <v>810</v>
      </c>
      <c r="B822" s="265"/>
      <c r="C822" s="386"/>
      <c r="D822" s="387"/>
      <c r="E822" s="264"/>
      <c r="F822" s="375"/>
      <c r="G822" s="376"/>
      <c r="H822" s="264"/>
    </row>
    <row r="823" spans="1:8" ht="45" customHeight="1" x14ac:dyDescent="0.25">
      <c r="A823" s="136">
        <f t="shared" si="12"/>
        <v>811</v>
      </c>
      <c r="B823" s="265"/>
      <c r="C823" s="386"/>
      <c r="D823" s="387"/>
      <c r="E823" s="264"/>
      <c r="F823" s="375"/>
      <c r="G823" s="376"/>
      <c r="H823" s="264"/>
    </row>
    <row r="824" spans="1:8" ht="45" customHeight="1" x14ac:dyDescent="0.25">
      <c r="A824" s="136">
        <f t="shared" si="12"/>
        <v>812</v>
      </c>
      <c r="B824" s="265"/>
      <c r="C824" s="386"/>
      <c r="D824" s="387"/>
      <c r="E824" s="264"/>
      <c r="F824" s="375"/>
      <c r="G824" s="376"/>
      <c r="H824" s="264"/>
    </row>
    <row r="825" spans="1:8" ht="45" customHeight="1" x14ac:dyDescent="0.25">
      <c r="A825" s="136">
        <f t="shared" si="12"/>
        <v>813</v>
      </c>
      <c r="B825" s="265"/>
      <c r="C825" s="386"/>
      <c r="D825" s="387"/>
      <c r="E825" s="264"/>
      <c r="F825" s="375"/>
      <c r="G825" s="376"/>
      <c r="H825" s="264"/>
    </row>
    <row r="826" spans="1:8" ht="45" customHeight="1" x14ac:dyDescent="0.25">
      <c r="A826" s="136">
        <f t="shared" si="12"/>
        <v>814</v>
      </c>
      <c r="B826" s="265"/>
      <c r="C826" s="386"/>
      <c r="D826" s="387"/>
      <c r="E826" s="264"/>
      <c r="F826" s="375"/>
      <c r="G826" s="376"/>
      <c r="H826" s="264"/>
    </row>
    <row r="827" spans="1:8" ht="45" customHeight="1" x14ac:dyDescent="0.25">
      <c r="A827" s="136">
        <f t="shared" si="12"/>
        <v>815</v>
      </c>
      <c r="B827" s="265"/>
      <c r="C827" s="386"/>
      <c r="D827" s="387"/>
      <c r="E827" s="264"/>
      <c r="F827" s="375"/>
      <c r="G827" s="376"/>
      <c r="H827" s="264"/>
    </row>
    <row r="828" spans="1:8" ht="45" customHeight="1" x14ac:dyDescent="0.25">
      <c r="A828" s="136">
        <f t="shared" si="12"/>
        <v>816</v>
      </c>
      <c r="B828" s="265"/>
      <c r="C828" s="386"/>
      <c r="D828" s="387"/>
      <c r="E828" s="264"/>
      <c r="F828" s="375"/>
      <c r="G828" s="376"/>
      <c r="H828" s="264"/>
    </row>
    <row r="829" spans="1:8" ht="45" customHeight="1" x14ac:dyDescent="0.25">
      <c r="A829" s="136">
        <f t="shared" si="12"/>
        <v>817</v>
      </c>
      <c r="B829" s="265"/>
      <c r="C829" s="386"/>
      <c r="D829" s="387"/>
      <c r="E829" s="264"/>
      <c r="F829" s="375"/>
      <c r="G829" s="376"/>
      <c r="H829" s="264"/>
    </row>
    <row r="830" spans="1:8" ht="45" customHeight="1" x14ac:dyDescent="0.25">
      <c r="A830" s="136">
        <f t="shared" si="12"/>
        <v>818</v>
      </c>
      <c r="B830" s="265"/>
      <c r="C830" s="386"/>
      <c r="D830" s="387"/>
      <c r="E830" s="264"/>
      <c r="F830" s="375"/>
      <c r="G830" s="376"/>
      <c r="H830" s="264"/>
    </row>
    <row r="831" spans="1:8" ht="45" customHeight="1" x14ac:dyDescent="0.25">
      <c r="A831" s="136">
        <f t="shared" si="12"/>
        <v>819</v>
      </c>
      <c r="B831" s="265"/>
      <c r="C831" s="386"/>
      <c r="D831" s="387"/>
      <c r="E831" s="264"/>
      <c r="F831" s="375"/>
      <c r="G831" s="376"/>
      <c r="H831" s="264"/>
    </row>
    <row r="832" spans="1:8" ht="45" customHeight="1" x14ac:dyDescent="0.25">
      <c r="A832" s="136">
        <f t="shared" si="12"/>
        <v>820</v>
      </c>
      <c r="B832" s="265"/>
      <c r="C832" s="386"/>
      <c r="D832" s="387"/>
      <c r="E832" s="264"/>
      <c r="F832" s="375"/>
      <c r="G832" s="376"/>
      <c r="H832" s="264"/>
    </row>
    <row r="833" spans="1:8" ht="45" customHeight="1" x14ac:dyDescent="0.25">
      <c r="A833" s="136">
        <f t="shared" si="12"/>
        <v>821</v>
      </c>
      <c r="B833" s="265"/>
      <c r="C833" s="386"/>
      <c r="D833" s="387"/>
      <c r="E833" s="264"/>
      <c r="F833" s="375"/>
      <c r="G833" s="376"/>
      <c r="H833" s="264"/>
    </row>
    <row r="834" spans="1:8" ht="45" customHeight="1" x14ac:dyDescent="0.25">
      <c r="A834" s="136">
        <f t="shared" si="12"/>
        <v>822</v>
      </c>
      <c r="B834" s="265"/>
      <c r="C834" s="386"/>
      <c r="D834" s="387"/>
      <c r="E834" s="264"/>
      <c r="F834" s="375"/>
      <c r="G834" s="376"/>
      <c r="H834" s="264"/>
    </row>
    <row r="835" spans="1:8" ht="45" customHeight="1" x14ac:dyDescent="0.25">
      <c r="A835" s="136">
        <f t="shared" si="12"/>
        <v>823</v>
      </c>
      <c r="B835" s="265"/>
      <c r="C835" s="386"/>
      <c r="D835" s="387"/>
      <c r="E835" s="264"/>
      <c r="F835" s="375"/>
      <c r="G835" s="376"/>
      <c r="H835" s="264"/>
    </row>
    <row r="836" spans="1:8" ht="45" customHeight="1" x14ac:dyDescent="0.25">
      <c r="A836" s="136">
        <f t="shared" si="12"/>
        <v>824</v>
      </c>
      <c r="B836" s="265"/>
      <c r="C836" s="386"/>
      <c r="D836" s="387"/>
      <c r="E836" s="264"/>
      <c r="F836" s="375"/>
      <c r="G836" s="376"/>
      <c r="H836" s="264"/>
    </row>
    <row r="837" spans="1:8" ht="45" customHeight="1" x14ac:dyDescent="0.25">
      <c r="A837" s="136">
        <f t="shared" si="12"/>
        <v>825</v>
      </c>
      <c r="B837" s="265"/>
      <c r="C837" s="386"/>
      <c r="D837" s="387"/>
      <c r="E837" s="264"/>
      <c r="F837" s="375"/>
      <c r="G837" s="376"/>
      <c r="H837" s="264"/>
    </row>
    <row r="838" spans="1:8" ht="45" customHeight="1" x14ac:dyDescent="0.25">
      <c r="A838" s="136">
        <f t="shared" si="12"/>
        <v>826</v>
      </c>
      <c r="B838" s="265"/>
      <c r="C838" s="386"/>
      <c r="D838" s="387"/>
      <c r="E838" s="264"/>
      <c r="F838" s="375"/>
      <c r="G838" s="376"/>
      <c r="H838" s="264"/>
    </row>
    <row r="839" spans="1:8" ht="45" customHeight="1" x14ac:dyDescent="0.25">
      <c r="A839" s="136">
        <f t="shared" si="12"/>
        <v>827</v>
      </c>
      <c r="B839" s="265"/>
      <c r="C839" s="386"/>
      <c r="D839" s="387"/>
      <c r="E839" s="264"/>
      <c r="F839" s="375"/>
      <c r="G839" s="376"/>
      <c r="H839" s="264"/>
    </row>
    <row r="840" spans="1:8" ht="45" customHeight="1" x14ac:dyDescent="0.25">
      <c r="A840" s="136">
        <f t="shared" si="12"/>
        <v>828</v>
      </c>
      <c r="B840" s="265"/>
      <c r="C840" s="386"/>
      <c r="D840" s="387"/>
      <c r="E840" s="264"/>
      <c r="F840" s="375"/>
      <c r="G840" s="376"/>
      <c r="H840" s="264"/>
    </row>
    <row r="841" spans="1:8" ht="45" customHeight="1" x14ac:dyDescent="0.25">
      <c r="A841" s="136">
        <f t="shared" si="12"/>
        <v>829</v>
      </c>
      <c r="B841" s="265"/>
      <c r="C841" s="386"/>
      <c r="D841" s="387"/>
      <c r="E841" s="264"/>
      <c r="F841" s="375"/>
      <c r="G841" s="376"/>
      <c r="H841" s="264"/>
    </row>
    <row r="842" spans="1:8" ht="45" customHeight="1" x14ac:dyDescent="0.25">
      <c r="A842" s="136">
        <f t="shared" si="12"/>
        <v>830</v>
      </c>
      <c r="B842" s="265"/>
      <c r="C842" s="386"/>
      <c r="D842" s="387"/>
      <c r="E842" s="264"/>
      <c r="F842" s="375"/>
      <c r="G842" s="376"/>
      <c r="H842" s="264"/>
    </row>
    <row r="843" spans="1:8" ht="45" customHeight="1" x14ac:dyDescent="0.25">
      <c r="A843" s="136">
        <f t="shared" si="12"/>
        <v>831</v>
      </c>
      <c r="B843" s="265"/>
      <c r="C843" s="386"/>
      <c r="D843" s="387"/>
      <c r="E843" s="264"/>
      <c r="F843" s="375"/>
      <c r="G843" s="376"/>
      <c r="H843" s="264"/>
    </row>
    <row r="844" spans="1:8" ht="45" customHeight="1" x14ac:dyDescent="0.25">
      <c r="A844" s="136">
        <f t="shared" si="12"/>
        <v>832</v>
      </c>
      <c r="B844" s="265"/>
      <c r="C844" s="386"/>
      <c r="D844" s="387"/>
      <c r="E844" s="264"/>
      <c r="F844" s="375"/>
      <c r="G844" s="376"/>
      <c r="H844" s="264"/>
    </row>
    <row r="845" spans="1:8" ht="45" customHeight="1" x14ac:dyDescent="0.25">
      <c r="A845" s="136">
        <f t="shared" si="12"/>
        <v>833</v>
      </c>
      <c r="B845" s="265"/>
      <c r="C845" s="386"/>
      <c r="D845" s="387"/>
      <c r="E845" s="264"/>
      <c r="F845" s="375"/>
      <c r="G845" s="376"/>
      <c r="H845" s="264"/>
    </row>
    <row r="846" spans="1:8" ht="45" customHeight="1" x14ac:dyDescent="0.25">
      <c r="A846" s="136">
        <f t="shared" ref="A846:A909" si="13">ROW(A834)</f>
        <v>834</v>
      </c>
      <c r="B846" s="265"/>
      <c r="C846" s="386"/>
      <c r="D846" s="387"/>
      <c r="E846" s="264"/>
      <c r="F846" s="375"/>
      <c r="G846" s="376"/>
      <c r="H846" s="264"/>
    </row>
    <row r="847" spans="1:8" ht="45" customHeight="1" x14ac:dyDescent="0.25">
      <c r="A847" s="136">
        <f t="shared" si="13"/>
        <v>835</v>
      </c>
      <c r="B847" s="265"/>
      <c r="C847" s="386"/>
      <c r="D847" s="387"/>
      <c r="E847" s="264"/>
      <c r="F847" s="375"/>
      <c r="G847" s="376"/>
      <c r="H847" s="264"/>
    </row>
    <row r="848" spans="1:8" ht="45" customHeight="1" x14ac:dyDescent="0.25">
      <c r="A848" s="136">
        <f t="shared" si="13"/>
        <v>836</v>
      </c>
      <c r="B848" s="265"/>
      <c r="C848" s="386"/>
      <c r="D848" s="387"/>
      <c r="E848" s="264"/>
      <c r="F848" s="375"/>
      <c r="G848" s="376"/>
      <c r="H848" s="264"/>
    </row>
    <row r="849" spans="1:8" ht="45" customHeight="1" x14ac:dyDescent="0.25">
      <c r="A849" s="136">
        <f t="shared" si="13"/>
        <v>837</v>
      </c>
      <c r="B849" s="265"/>
      <c r="C849" s="386"/>
      <c r="D849" s="387"/>
      <c r="E849" s="264"/>
      <c r="F849" s="375"/>
      <c r="G849" s="376"/>
      <c r="H849" s="264"/>
    </row>
    <row r="850" spans="1:8" ht="45" customHeight="1" x14ac:dyDescent="0.25">
      <c r="A850" s="136">
        <f t="shared" si="13"/>
        <v>838</v>
      </c>
      <c r="B850" s="265"/>
      <c r="C850" s="386"/>
      <c r="D850" s="387"/>
      <c r="E850" s="264"/>
      <c r="F850" s="375"/>
      <c r="G850" s="376"/>
      <c r="H850" s="264"/>
    </row>
    <row r="851" spans="1:8" ht="45" customHeight="1" x14ac:dyDescent="0.25">
      <c r="A851" s="136">
        <f t="shared" si="13"/>
        <v>839</v>
      </c>
      <c r="B851" s="265"/>
      <c r="C851" s="386"/>
      <c r="D851" s="387"/>
      <c r="E851" s="264"/>
      <c r="F851" s="375"/>
      <c r="G851" s="376"/>
      <c r="H851" s="264"/>
    </row>
    <row r="852" spans="1:8" ht="45" customHeight="1" x14ac:dyDescent="0.25">
      <c r="A852" s="136">
        <f t="shared" si="13"/>
        <v>840</v>
      </c>
      <c r="B852" s="265"/>
      <c r="C852" s="386"/>
      <c r="D852" s="387"/>
      <c r="E852" s="264"/>
      <c r="F852" s="375"/>
      <c r="G852" s="376"/>
      <c r="H852" s="264"/>
    </row>
    <row r="853" spans="1:8" ht="45" customHeight="1" x14ac:dyDescent="0.25">
      <c r="A853" s="136">
        <f t="shared" si="13"/>
        <v>841</v>
      </c>
      <c r="B853" s="265"/>
      <c r="C853" s="386"/>
      <c r="D853" s="387"/>
      <c r="E853" s="264"/>
      <c r="F853" s="375"/>
      <c r="G853" s="376"/>
      <c r="H853" s="264"/>
    </row>
    <row r="854" spans="1:8" ht="45" customHeight="1" x14ac:dyDescent="0.25">
      <c r="A854" s="136">
        <f t="shared" si="13"/>
        <v>842</v>
      </c>
      <c r="B854" s="265"/>
      <c r="C854" s="386"/>
      <c r="D854" s="387"/>
      <c r="E854" s="264"/>
      <c r="F854" s="375"/>
      <c r="G854" s="376"/>
      <c r="H854" s="264"/>
    </row>
    <row r="855" spans="1:8" ht="45" customHeight="1" x14ac:dyDescent="0.25">
      <c r="A855" s="136">
        <f t="shared" si="13"/>
        <v>843</v>
      </c>
      <c r="B855" s="265"/>
      <c r="C855" s="386"/>
      <c r="D855" s="387"/>
      <c r="E855" s="264"/>
      <c r="F855" s="375"/>
      <c r="G855" s="376"/>
      <c r="H855" s="264"/>
    </row>
    <row r="856" spans="1:8" ht="45" customHeight="1" x14ac:dyDescent="0.25">
      <c r="A856" s="136">
        <f t="shared" si="13"/>
        <v>844</v>
      </c>
      <c r="B856" s="265"/>
      <c r="C856" s="386"/>
      <c r="D856" s="387"/>
      <c r="E856" s="264"/>
      <c r="F856" s="375"/>
      <c r="G856" s="376"/>
      <c r="H856" s="264"/>
    </row>
    <row r="857" spans="1:8" ht="45" customHeight="1" x14ac:dyDescent="0.25">
      <c r="A857" s="136">
        <f t="shared" si="13"/>
        <v>845</v>
      </c>
      <c r="B857" s="265"/>
      <c r="C857" s="386"/>
      <c r="D857" s="387"/>
      <c r="E857" s="264"/>
      <c r="F857" s="375"/>
      <c r="G857" s="376"/>
      <c r="H857" s="264"/>
    </row>
    <row r="858" spans="1:8" ht="45" customHeight="1" x14ac:dyDescent="0.25">
      <c r="A858" s="136">
        <f t="shared" si="13"/>
        <v>846</v>
      </c>
      <c r="B858" s="265"/>
      <c r="C858" s="386"/>
      <c r="D858" s="387"/>
      <c r="E858" s="264"/>
      <c r="F858" s="375"/>
      <c r="G858" s="376"/>
      <c r="H858" s="264"/>
    </row>
    <row r="859" spans="1:8" ht="45" customHeight="1" x14ac:dyDescent="0.25">
      <c r="A859" s="136">
        <f t="shared" si="13"/>
        <v>847</v>
      </c>
      <c r="B859" s="265"/>
      <c r="C859" s="386"/>
      <c r="D859" s="387"/>
      <c r="E859" s="264"/>
      <c r="F859" s="375"/>
      <c r="G859" s="376"/>
      <c r="H859" s="264"/>
    </row>
    <row r="860" spans="1:8" ht="45" customHeight="1" x14ac:dyDescent="0.25">
      <c r="A860" s="136">
        <f t="shared" si="13"/>
        <v>848</v>
      </c>
      <c r="B860" s="265"/>
      <c r="C860" s="386"/>
      <c r="D860" s="387"/>
      <c r="E860" s="264"/>
      <c r="F860" s="375"/>
      <c r="G860" s="376"/>
      <c r="H860" s="264"/>
    </row>
    <row r="861" spans="1:8" ht="45" customHeight="1" x14ac:dyDescent="0.25">
      <c r="A861" s="136">
        <f t="shared" si="13"/>
        <v>849</v>
      </c>
      <c r="B861" s="265"/>
      <c r="C861" s="386"/>
      <c r="D861" s="387"/>
      <c r="E861" s="264"/>
      <c r="F861" s="375"/>
      <c r="G861" s="376"/>
      <c r="H861" s="264"/>
    </row>
    <row r="862" spans="1:8" ht="45" customHeight="1" x14ac:dyDescent="0.25">
      <c r="A862" s="136">
        <f t="shared" si="13"/>
        <v>850</v>
      </c>
      <c r="B862" s="265"/>
      <c r="C862" s="386"/>
      <c r="D862" s="387"/>
      <c r="E862" s="264"/>
      <c r="F862" s="375"/>
      <c r="G862" s="376"/>
      <c r="H862" s="264"/>
    </row>
    <row r="863" spans="1:8" ht="45" customHeight="1" x14ac:dyDescent="0.25">
      <c r="A863" s="136">
        <f t="shared" si="13"/>
        <v>851</v>
      </c>
      <c r="B863" s="265"/>
      <c r="C863" s="386"/>
      <c r="D863" s="387"/>
      <c r="E863" s="264"/>
      <c r="F863" s="375"/>
      <c r="G863" s="376"/>
      <c r="H863" s="264"/>
    </row>
    <row r="864" spans="1:8" ht="45" customHeight="1" x14ac:dyDescent="0.25">
      <c r="A864" s="136">
        <f t="shared" si="13"/>
        <v>852</v>
      </c>
      <c r="B864" s="265"/>
      <c r="C864" s="386"/>
      <c r="D864" s="387"/>
      <c r="E864" s="264"/>
      <c r="F864" s="375"/>
      <c r="G864" s="376"/>
      <c r="H864" s="264"/>
    </row>
    <row r="865" spans="1:8" ht="45" customHeight="1" x14ac:dyDescent="0.25">
      <c r="A865" s="136">
        <f t="shared" si="13"/>
        <v>853</v>
      </c>
      <c r="B865" s="265"/>
      <c r="C865" s="386"/>
      <c r="D865" s="387"/>
      <c r="E865" s="264"/>
      <c r="F865" s="375"/>
      <c r="G865" s="376"/>
      <c r="H865" s="264"/>
    </row>
    <row r="866" spans="1:8" ht="45" customHeight="1" x14ac:dyDescent="0.25">
      <c r="A866" s="136">
        <f t="shared" si="13"/>
        <v>854</v>
      </c>
      <c r="B866" s="265"/>
      <c r="C866" s="386"/>
      <c r="D866" s="387"/>
      <c r="E866" s="264"/>
      <c r="F866" s="375"/>
      <c r="G866" s="376"/>
      <c r="H866" s="264"/>
    </row>
    <row r="867" spans="1:8" ht="45" customHeight="1" x14ac:dyDescent="0.25">
      <c r="A867" s="136">
        <f t="shared" si="13"/>
        <v>855</v>
      </c>
      <c r="B867" s="265"/>
      <c r="C867" s="386"/>
      <c r="D867" s="387"/>
      <c r="E867" s="264"/>
      <c r="F867" s="375"/>
      <c r="G867" s="376"/>
      <c r="H867" s="264"/>
    </row>
    <row r="868" spans="1:8" ht="45" customHeight="1" x14ac:dyDescent="0.25">
      <c r="A868" s="136">
        <f t="shared" si="13"/>
        <v>856</v>
      </c>
      <c r="B868" s="265"/>
      <c r="C868" s="386"/>
      <c r="D868" s="387"/>
      <c r="E868" s="264"/>
      <c r="F868" s="375"/>
      <c r="G868" s="376"/>
      <c r="H868" s="264"/>
    </row>
    <row r="869" spans="1:8" ht="45" customHeight="1" x14ac:dyDescent="0.25">
      <c r="A869" s="136">
        <f t="shared" si="13"/>
        <v>857</v>
      </c>
      <c r="B869" s="265"/>
      <c r="C869" s="386"/>
      <c r="D869" s="387"/>
      <c r="E869" s="264"/>
      <c r="F869" s="375"/>
      <c r="G869" s="376"/>
      <c r="H869" s="264"/>
    </row>
    <row r="870" spans="1:8" ht="45" customHeight="1" x14ac:dyDescent="0.25">
      <c r="A870" s="136">
        <f t="shared" si="13"/>
        <v>858</v>
      </c>
      <c r="B870" s="265"/>
      <c r="C870" s="386"/>
      <c r="D870" s="387"/>
      <c r="E870" s="264"/>
      <c r="F870" s="375"/>
      <c r="G870" s="376"/>
      <c r="H870" s="264"/>
    </row>
    <row r="871" spans="1:8" ht="45" customHeight="1" x14ac:dyDescent="0.25">
      <c r="A871" s="136">
        <f t="shared" si="13"/>
        <v>859</v>
      </c>
      <c r="B871" s="265"/>
      <c r="C871" s="386"/>
      <c r="D871" s="387"/>
      <c r="E871" s="264"/>
      <c r="F871" s="375"/>
      <c r="G871" s="376"/>
      <c r="H871" s="264"/>
    </row>
    <row r="872" spans="1:8" ht="45" customHeight="1" x14ac:dyDescent="0.25">
      <c r="A872" s="136">
        <f t="shared" si="13"/>
        <v>860</v>
      </c>
      <c r="B872" s="265"/>
      <c r="C872" s="386"/>
      <c r="D872" s="387"/>
      <c r="E872" s="264"/>
      <c r="F872" s="375"/>
      <c r="G872" s="376"/>
      <c r="H872" s="264"/>
    </row>
    <row r="873" spans="1:8" ht="45" customHeight="1" x14ac:dyDescent="0.25">
      <c r="A873" s="136">
        <f t="shared" si="13"/>
        <v>861</v>
      </c>
      <c r="B873" s="265"/>
      <c r="C873" s="386"/>
      <c r="D873" s="387"/>
      <c r="E873" s="264"/>
      <c r="F873" s="375"/>
      <c r="G873" s="376"/>
      <c r="H873" s="264"/>
    </row>
    <row r="874" spans="1:8" ht="45" customHeight="1" x14ac:dyDescent="0.25">
      <c r="A874" s="136">
        <f t="shared" si="13"/>
        <v>862</v>
      </c>
      <c r="B874" s="265"/>
      <c r="C874" s="386"/>
      <c r="D874" s="387"/>
      <c r="E874" s="264"/>
      <c r="F874" s="375"/>
      <c r="G874" s="376"/>
      <c r="H874" s="264"/>
    </row>
    <row r="875" spans="1:8" ht="45" customHeight="1" x14ac:dyDescent="0.25">
      <c r="A875" s="136">
        <f t="shared" si="13"/>
        <v>863</v>
      </c>
      <c r="B875" s="265"/>
      <c r="C875" s="386"/>
      <c r="D875" s="387"/>
      <c r="E875" s="264"/>
      <c r="F875" s="375"/>
      <c r="G875" s="376"/>
      <c r="H875" s="264"/>
    </row>
    <row r="876" spans="1:8" ht="45" customHeight="1" x14ac:dyDescent="0.25">
      <c r="A876" s="136">
        <f t="shared" si="13"/>
        <v>864</v>
      </c>
      <c r="B876" s="265"/>
      <c r="C876" s="386"/>
      <c r="D876" s="387"/>
      <c r="E876" s="264"/>
      <c r="F876" s="375"/>
      <c r="G876" s="376"/>
      <c r="H876" s="264"/>
    </row>
    <row r="877" spans="1:8" ht="45" customHeight="1" x14ac:dyDescent="0.25">
      <c r="A877" s="136">
        <f t="shared" si="13"/>
        <v>865</v>
      </c>
      <c r="B877" s="265"/>
      <c r="C877" s="386"/>
      <c r="D877" s="387"/>
      <c r="E877" s="264"/>
      <c r="F877" s="375"/>
      <c r="G877" s="376"/>
      <c r="H877" s="264"/>
    </row>
    <row r="878" spans="1:8" ht="45" customHeight="1" x14ac:dyDescent="0.25">
      <c r="A878" s="136">
        <f t="shared" si="13"/>
        <v>866</v>
      </c>
      <c r="B878" s="265"/>
      <c r="C878" s="386"/>
      <c r="D878" s="387"/>
      <c r="E878" s="264"/>
      <c r="F878" s="375"/>
      <c r="G878" s="376"/>
      <c r="H878" s="264"/>
    </row>
    <row r="879" spans="1:8" ht="45" customHeight="1" x14ac:dyDescent="0.25">
      <c r="A879" s="136">
        <f t="shared" si="13"/>
        <v>867</v>
      </c>
      <c r="B879" s="265"/>
      <c r="C879" s="386"/>
      <c r="D879" s="387"/>
      <c r="E879" s="264"/>
      <c r="F879" s="375"/>
      <c r="G879" s="376"/>
      <c r="H879" s="264"/>
    </row>
    <row r="880" spans="1:8" ht="45" customHeight="1" x14ac:dyDescent="0.25">
      <c r="A880" s="136">
        <f t="shared" si="13"/>
        <v>868</v>
      </c>
      <c r="B880" s="265"/>
      <c r="C880" s="386"/>
      <c r="D880" s="387"/>
      <c r="E880" s="264"/>
      <c r="F880" s="375"/>
      <c r="G880" s="376"/>
      <c r="H880" s="264"/>
    </row>
    <row r="881" spans="1:8" ht="45" customHeight="1" x14ac:dyDescent="0.25">
      <c r="A881" s="136">
        <f t="shared" si="13"/>
        <v>869</v>
      </c>
      <c r="B881" s="265"/>
      <c r="C881" s="386"/>
      <c r="D881" s="387"/>
      <c r="E881" s="264"/>
      <c r="F881" s="375"/>
      <c r="G881" s="376"/>
      <c r="H881" s="264"/>
    </row>
    <row r="882" spans="1:8" ht="45" customHeight="1" x14ac:dyDescent="0.25">
      <c r="A882" s="136">
        <f t="shared" si="13"/>
        <v>870</v>
      </c>
      <c r="B882" s="265"/>
      <c r="C882" s="386"/>
      <c r="D882" s="387"/>
      <c r="E882" s="264"/>
      <c r="F882" s="375"/>
      <c r="G882" s="376"/>
      <c r="H882" s="264"/>
    </row>
    <row r="883" spans="1:8" ht="45" customHeight="1" x14ac:dyDescent="0.25">
      <c r="A883" s="136">
        <f t="shared" si="13"/>
        <v>871</v>
      </c>
      <c r="B883" s="265"/>
      <c r="C883" s="386"/>
      <c r="D883" s="387"/>
      <c r="E883" s="264"/>
      <c r="F883" s="375"/>
      <c r="G883" s="376"/>
      <c r="H883" s="264"/>
    </row>
    <row r="884" spans="1:8" ht="45" customHeight="1" x14ac:dyDescent="0.25">
      <c r="A884" s="136">
        <f t="shared" si="13"/>
        <v>872</v>
      </c>
      <c r="B884" s="265"/>
      <c r="C884" s="386"/>
      <c r="D884" s="387"/>
      <c r="E884" s="264"/>
      <c r="F884" s="375"/>
      <c r="G884" s="376"/>
      <c r="H884" s="264"/>
    </row>
    <row r="885" spans="1:8" ht="45" customHeight="1" x14ac:dyDescent="0.25">
      <c r="A885" s="136">
        <f t="shared" si="13"/>
        <v>873</v>
      </c>
      <c r="B885" s="265"/>
      <c r="C885" s="386"/>
      <c r="D885" s="387"/>
      <c r="E885" s="264"/>
      <c r="F885" s="375"/>
      <c r="G885" s="376"/>
      <c r="H885" s="264"/>
    </row>
    <row r="886" spans="1:8" ht="45" customHeight="1" x14ac:dyDescent="0.25">
      <c r="A886" s="136">
        <f t="shared" si="13"/>
        <v>874</v>
      </c>
      <c r="B886" s="265"/>
      <c r="C886" s="386"/>
      <c r="D886" s="387"/>
      <c r="E886" s="264"/>
      <c r="F886" s="375"/>
      <c r="G886" s="376"/>
      <c r="H886" s="264"/>
    </row>
    <row r="887" spans="1:8" ht="45" customHeight="1" x14ac:dyDescent="0.25">
      <c r="A887" s="136">
        <f t="shared" si="13"/>
        <v>875</v>
      </c>
      <c r="B887" s="265"/>
      <c r="C887" s="386"/>
      <c r="D887" s="387"/>
      <c r="E887" s="264"/>
      <c r="F887" s="375"/>
      <c r="G887" s="376"/>
      <c r="H887" s="264"/>
    </row>
    <row r="888" spans="1:8" ht="45" customHeight="1" x14ac:dyDescent="0.25">
      <c r="A888" s="136">
        <f t="shared" si="13"/>
        <v>876</v>
      </c>
      <c r="B888" s="265"/>
      <c r="C888" s="386"/>
      <c r="D888" s="387"/>
      <c r="E888" s="264"/>
      <c r="F888" s="375"/>
      <c r="G888" s="376"/>
      <c r="H888" s="264"/>
    </row>
    <row r="889" spans="1:8" ht="45" customHeight="1" x14ac:dyDescent="0.25">
      <c r="A889" s="136">
        <f t="shared" si="13"/>
        <v>877</v>
      </c>
      <c r="B889" s="265"/>
      <c r="C889" s="386"/>
      <c r="D889" s="387"/>
      <c r="E889" s="264"/>
      <c r="F889" s="375"/>
      <c r="G889" s="376"/>
      <c r="H889" s="264"/>
    </row>
    <row r="890" spans="1:8" ht="45" customHeight="1" x14ac:dyDescent="0.25">
      <c r="A890" s="136">
        <f t="shared" si="13"/>
        <v>878</v>
      </c>
      <c r="B890" s="265"/>
      <c r="C890" s="386"/>
      <c r="D890" s="387"/>
      <c r="E890" s="264"/>
      <c r="F890" s="375"/>
      <c r="G890" s="376"/>
      <c r="H890" s="264"/>
    </row>
    <row r="891" spans="1:8" ht="45" customHeight="1" x14ac:dyDescent="0.25">
      <c r="A891" s="136">
        <f t="shared" si="13"/>
        <v>879</v>
      </c>
      <c r="B891" s="265"/>
      <c r="C891" s="386"/>
      <c r="D891" s="387"/>
      <c r="E891" s="264"/>
      <c r="F891" s="375"/>
      <c r="G891" s="376"/>
      <c r="H891" s="264"/>
    </row>
    <row r="892" spans="1:8" ht="45" customHeight="1" x14ac:dyDescent="0.25">
      <c r="A892" s="136">
        <f t="shared" si="13"/>
        <v>880</v>
      </c>
      <c r="B892" s="265"/>
      <c r="C892" s="386"/>
      <c r="D892" s="387"/>
      <c r="E892" s="264"/>
      <c r="F892" s="375"/>
      <c r="G892" s="376"/>
      <c r="H892" s="264"/>
    </row>
    <row r="893" spans="1:8" ht="45" customHeight="1" x14ac:dyDescent="0.25">
      <c r="A893" s="136">
        <f t="shared" si="13"/>
        <v>881</v>
      </c>
      <c r="B893" s="265"/>
      <c r="C893" s="386"/>
      <c r="D893" s="387"/>
      <c r="E893" s="264"/>
      <c r="F893" s="375"/>
      <c r="G893" s="376"/>
      <c r="H893" s="264"/>
    </row>
    <row r="894" spans="1:8" ht="45" customHeight="1" x14ac:dyDescent="0.25">
      <c r="A894" s="136">
        <f t="shared" si="13"/>
        <v>882</v>
      </c>
      <c r="B894" s="265"/>
      <c r="C894" s="386"/>
      <c r="D894" s="387"/>
      <c r="E894" s="264"/>
      <c r="F894" s="375"/>
      <c r="G894" s="376"/>
      <c r="H894" s="264"/>
    </row>
    <row r="895" spans="1:8" ht="45" customHeight="1" x14ac:dyDescent="0.25">
      <c r="A895" s="136">
        <f t="shared" si="13"/>
        <v>883</v>
      </c>
      <c r="B895" s="265"/>
      <c r="C895" s="386"/>
      <c r="D895" s="387"/>
      <c r="E895" s="264"/>
      <c r="F895" s="375"/>
      <c r="G895" s="376"/>
      <c r="H895" s="264"/>
    </row>
    <row r="896" spans="1:8" ht="45" customHeight="1" x14ac:dyDescent="0.25">
      <c r="A896" s="136">
        <f t="shared" si="13"/>
        <v>884</v>
      </c>
      <c r="B896" s="265"/>
      <c r="C896" s="386"/>
      <c r="D896" s="387"/>
      <c r="E896" s="264"/>
      <c r="F896" s="375"/>
      <c r="G896" s="376"/>
      <c r="H896" s="264"/>
    </row>
    <row r="897" spans="1:8" ht="45" customHeight="1" x14ac:dyDescent="0.25">
      <c r="A897" s="136">
        <f t="shared" si="13"/>
        <v>885</v>
      </c>
      <c r="B897" s="265"/>
      <c r="C897" s="386"/>
      <c r="D897" s="387"/>
      <c r="E897" s="264"/>
      <c r="F897" s="375"/>
      <c r="G897" s="376"/>
      <c r="H897" s="264"/>
    </row>
    <row r="898" spans="1:8" ht="45" customHeight="1" x14ac:dyDescent="0.25">
      <c r="A898" s="136">
        <f t="shared" si="13"/>
        <v>886</v>
      </c>
      <c r="B898" s="265"/>
      <c r="C898" s="386"/>
      <c r="D898" s="387"/>
      <c r="E898" s="264"/>
      <c r="F898" s="375"/>
      <c r="G898" s="376"/>
      <c r="H898" s="264"/>
    </row>
    <row r="899" spans="1:8" ht="45" customHeight="1" x14ac:dyDescent="0.25">
      <c r="A899" s="136">
        <f t="shared" si="13"/>
        <v>887</v>
      </c>
      <c r="B899" s="265"/>
      <c r="C899" s="386"/>
      <c r="D899" s="387"/>
      <c r="E899" s="264"/>
      <c r="F899" s="375"/>
      <c r="G899" s="376"/>
      <c r="H899" s="264"/>
    </row>
    <row r="900" spans="1:8" ht="45" customHeight="1" x14ac:dyDescent="0.25">
      <c r="A900" s="136">
        <f t="shared" si="13"/>
        <v>888</v>
      </c>
      <c r="B900" s="265"/>
      <c r="C900" s="386"/>
      <c r="D900" s="387"/>
      <c r="E900" s="264"/>
      <c r="F900" s="375"/>
      <c r="G900" s="376"/>
      <c r="H900" s="264"/>
    </row>
    <row r="901" spans="1:8" ht="45" customHeight="1" x14ac:dyDescent="0.25">
      <c r="A901" s="136">
        <f t="shared" si="13"/>
        <v>889</v>
      </c>
      <c r="B901" s="265"/>
      <c r="C901" s="386"/>
      <c r="D901" s="387"/>
      <c r="E901" s="264"/>
      <c r="F901" s="375"/>
      <c r="G901" s="376"/>
      <c r="H901" s="264"/>
    </row>
    <row r="902" spans="1:8" ht="45" customHeight="1" x14ac:dyDescent="0.25">
      <c r="A902" s="136">
        <f t="shared" si="13"/>
        <v>890</v>
      </c>
      <c r="B902" s="265"/>
      <c r="C902" s="386"/>
      <c r="D902" s="387"/>
      <c r="E902" s="264"/>
      <c r="F902" s="375"/>
      <c r="G902" s="376"/>
      <c r="H902" s="264"/>
    </row>
    <row r="903" spans="1:8" ht="45" customHeight="1" x14ac:dyDescent="0.25">
      <c r="A903" s="136">
        <f t="shared" si="13"/>
        <v>891</v>
      </c>
      <c r="B903" s="265"/>
      <c r="C903" s="386"/>
      <c r="D903" s="387"/>
      <c r="E903" s="264"/>
      <c r="F903" s="375"/>
      <c r="G903" s="376"/>
      <c r="H903" s="264"/>
    </row>
    <row r="904" spans="1:8" ht="45" customHeight="1" x14ac:dyDescent="0.25">
      <c r="A904" s="136">
        <f t="shared" si="13"/>
        <v>892</v>
      </c>
      <c r="B904" s="265"/>
      <c r="C904" s="386"/>
      <c r="D904" s="387"/>
      <c r="E904" s="264"/>
      <c r="F904" s="375"/>
      <c r="G904" s="376"/>
      <c r="H904" s="264"/>
    </row>
    <row r="905" spans="1:8" ht="45" customHeight="1" x14ac:dyDescent="0.25">
      <c r="A905" s="136">
        <f t="shared" si="13"/>
        <v>893</v>
      </c>
      <c r="B905" s="265"/>
      <c r="C905" s="386"/>
      <c r="D905" s="387"/>
      <c r="E905" s="264"/>
      <c r="F905" s="375"/>
      <c r="G905" s="376"/>
      <c r="H905" s="264"/>
    </row>
    <row r="906" spans="1:8" ht="45" customHeight="1" x14ac:dyDescent="0.25">
      <c r="A906" s="136">
        <f t="shared" si="13"/>
        <v>894</v>
      </c>
      <c r="B906" s="265"/>
      <c r="C906" s="386"/>
      <c r="D906" s="387"/>
      <c r="E906" s="264"/>
      <c r="F906" s="375"/>
      <c r="G906" s="376"/>
      <c r="H906" s="264"/>
    </row>
    <row r="907" spans="1:8" ht="45" customHeight="1" x14ac:dyDescent="0.25">
      <c r="A907" s="136">
        <f t="shared" si="13"/>
        <v>895</v>
      </c>
      <c r="B907" s="265"/>
      <c r="C907" s="386"/>
      <c r="D907" s="387"/>
      <c r="E907" s="264"/>
      <c r="F907" s="375"/>
      <c r="G907" s="376"/>
      <c r="H907" s="264"/>
    </row>
    <row r="908" spans="1:8" ht="45" customHeight="1" x14ac:dyDescent="0.25">
      <c r="A908" s="136">
        <f t="shared" si="13"/>
        <v>896</v>
      </c>
      <c r="B908" s="265"/>
      <c r="C908" s="386"/>
      <c r="D908" s="387"/>
      <c r="E908" s="264"/>
      <c r="F908" s="375"/>
      <c r="G908" s="376"/>
      <c r="H908" s="264"/>
    </row>
    <row r="909" spans="1:8" ht="45" customHeight="1" x14ac:dyDescent="0.25">
      <c r="A909" s="136">
        <f t="shared" si="13"/>
        <v>897</v>
      </c>
      <c r="B909" s="265"/>
      <c r="C909" s="386"/>
      <c r="D909" s="387"/>
      <c r="E909" s="264"/>
      <c r="F909" s="375"/>
      <c r="G909" s="376"/>
      <c r="H909" s="264"/>
    </row>
    <row r="910" spans="1:8" ht="45" customHeight="1" x14ac:dyDescent="0.25">
      <c r="A910" s="136">
        <f t="shared" ref="A910:A973" si="14">ROW(A898)</f>
        <v>898</v>
      </c>
      <c r="B910" s="265"/>
      <c r="C910" s="386"/>
      <c r="D910" s="387"/>
      <c r="E910" s="264"/>
      <c r="F910" s="375"/>
      <c r="G910" s="376"/>
      <c r="H910" s="264"/>
    </row>
    <row r="911" spans="1:8" ht="45" customHeight="1" x14ac:dyDescent="0.25">
      <c r="A911" s="136">
        <f t="shared" si="14"/>
        <v>899</v>
      </c>
      <c r="B911" s="265"/>
      <c r="C911" s="386"/>
      <c r="D911" s="387"/>
      <c r="E911" s="264"/>
      <c r="F911" s="375"/>
      <c r="G911" s="376"/>
      <c r="H911" s="264"/>
    </row>
    <row r="912" spans="1:8" ht="45" customHeight="1" x14ac:dyDescent="0.25">
      <c r="A912" s="136">
        <f t="shared" si="14"/>
        <v>900</v>
      </c>
      <c r="B912" s="265"/>
      <c r="C912" s="386"/>
      <c r="D912" s="387"/>
      <c r="E912" s="264"/>
      <c r="F912" s="375"/>
      <c r="G912" s="376"/>
      <c r="H912" s="264"/>
    </row>
    <row r="913" spans="1:8" ht="45" customHeight="1" x14ac:dyDescent="0.25">
      <c r="A913" s="136">
        <f t="shared" si="14"/>
        <v>901</v>
      </c>
      <c r="B913" s="265"/>
      <c r="C913" s="386"/>
      <c r="D913" s="387"/>
      <c r="E913" s="264"/>
      <c r="F913" s="375"/>
      <c r="G913" s="376"/>
      <c r="H913" s="264"/>
    </row>
    <row r="914" spans="1:8" ht="45" customHeight="1" x14ac:dyDescent="0.25">
      <c r="A914" s="136">
        <f t="shared" si="14"/>
        <v>902</v>
      </c>
      <c r="B914" s="265"/>
      <c r="C914" s="386"/>
      <c r="D914" s="387"/>
      <c r="E914" s="264"/>
      <c r="F914" s="375"/>
      <c r="G914" s="376"/>
      <c r="H914" s="264"/>
    </row>
    <row r="915" spans="1:8" ht="45" customHeight="1" x14ac:dyDescent="0.25">
      <c r="A915" s="136">
        <f t="shared" si="14"/>
        <v>903</v>
      </c>
      <c r="B915" s="265"/>
      <c r="C915" s="386"/>
      <c r="D915" s="387"/>
      <c r="E915" s="264"/>
      <c r="F915" s="375"/>
      <c r="G915" s="376"/>
      <c r="H915" s="264"/>
    </row>
    <row r="916" spans="1:8" ht="45" customHeight="1" x14ac:dyDescent="0.25">
      <c r="A916" s="136">
        <f t="shared" si="14"/>
        <v>904</v>
      </c>
      <c r="B916" s="265"/>
      <c r="C916" s="386"/>
      <c r="D916" s="387"/>
      <c r="E916" s="264"/>
      <c r="F916" s="375"/>
      <c r="G916" s="376"/>
      <c r="H916" s="264"/>
    </row>
    <row r="917" spans="1:8" ht="45" customHeight="1" x14ac:dyDescent="0.25">
      <c r="A917" s="136">
        <f t="shared" si="14"/>
        <v>905</v>
      </c>
      <c r="B917" s="265"/>
      <c r="C917" s="386"/>
      <c r="D917" s="387"/>
      <c r="E917" s="264"/>
      <c r="F917" s="375"/>
      <c r="G917" s="376"/>
      <c r="H917" s="264"/>
    </row>
    <row r="918" spans="1:8" ht="45" customHeight="1" x14ac:dyDescent="0.25">
      <c r="A918" s="136">
        <f t="shared" si="14"/>
        <v>906</v>
      </c>
      <c r="B918" s="265"/>
      <c r="C918" s="386"/>
      <c r="D918" s="387"/>
      <c r="E918" s="264"/>
      <c r="F918" s="375"/>
      <c r="G918" s="376"/>
      <c r="H918" s="264"/>
    </row>
    <row r="919" spans="1:8" ht="45" customHeight="1" x14ac:dyDescent="0.25">
      <c r="A919" s="136">
        <f t="shared" si="14"/>
        <v>907</v>
      </c>
      <c r="B919" s="265"/>
      <c r="C919" s="386"/>
      <c r="D919" s="387"/>
      <c r="E919" s="264"/>
      <c r="F919" s="375"/>
      <c r="G919" s="376"/>
      <c r="H919" s="264"/>
    </row>
    <row r="920" spans="1:8" ht="45" customHeight="1" x14ac:dyDescent="0.25">
      <c r="A920" s="136">
        <f t="shared" si="14"/>
        <v>908</v>
      </c>
      <c r="B920" s="265"/>
      <c r="C920" s="386"/>
      <c r="D920" s="387"/>
      <c r="E920" s="264"/>
      <c r="F920" s="375"/>
      <c r="G920" s="376"/>
      <c r="H920" s="264"/>
    </row>
    <row r="921" spans="1:8" ht="45" customHeight="1" x14ac:dyDescent="0.25">
      <c r="A921" s="136">
        <f t="shared" si="14"/>
        <v>909</v>
      </c>
      <c r="B921" s="265"/>
      <c r="C921" s="386"/>
      <c r="D921" s="387"/>
      <c r="E921" s="264"/>
      <c r="F921" s="375"/>
      <c r="G921" s="376"/>
      <c r="H921" s="264"/>
    </row>
    <row r="922" spans="1:8" ht="45" customHeight="1" x14ac:dyDescent="0.25">
      <c r="A922" s="136">
        <f t="shared" si="14"/>
        <v>910</v>
      </c>
      <c r="B922" s="265"/>
      <c r="C922" s="386"/>
      <c r="D922" s="387"/>
      <c r="E922" s="264"/>
      <c r="F922" s="375"/>
      <c r="G922" s="376"/>
      <c r="H922" s="264"/>
    </row>
    <row r="923" spans="1:8" ht="45" customHeight="1" x14ac:dyDescent="0.25">
      <c r="A923" s="136">
        <f t="shared" si="14"/>
        <v>911</v>
      </c>
      <c r="B923" s="265"/>
      <c r="C923" s="386"/>
      <c r="D923" s="387"/>
      <c r="E923" s="264"/>
      <c r="F923" s="375"/>
      <c r="G923" s="376"/>
      <c r="H923" s="264"/>
    </row>
    <row r="924" spans="1:8" ht="45" customHeight="1" x14ac:dyDescent="0.25">
      <c r="A924" s="136">
        <f t="shared" si="14"/>
        <v>912</v>
      </c>
      <c r="B924" s="265"/>
      <c r="C924" s="386"/>
      <c r="D924" s="387"/>
      <c r="E924" s="264"/>
      <c r="F924" s="375"/>
      <c r="G924" s="376"/>
      <c r="H924" s="264"/>
    </row>
    <row r="925" spans="1:8" ht="45" customHeight="1" x14ac:dyDescent="0.25">
      <c r="A925" s="136">
        <f t="shared" si="14"/>
        <v>913</v>
      </c>
      <c r="B925" s="265"/>
      <c r="C925" s="386"/>
      <c r="D925" s="387"/>
      <c r="E925" s="264"/>
      <c r="F925" s="375"/>
      <c r="G925" s="376"/>
      <c r="H925" s="264"/>
    </row>
    <row r="926" spans="1:8" ht="45" customHeight="1" x14ac:dyDescent="0.25">
      <c r="A926" s="136">
        <f t="shared" si="14"/>
        <v>914</v>
      </c>
      <c r="B926" s="265"/>
      <c r="C926" s="386"/>
      <c r="D926" s="387"/>
      <c r="E926" s="264"/>
      <c r="F926" s="375"/>
      <c r="G926" s="376"/>
      <c r="H926" s="264"/>
    </row>
    <row r="927" spans="1:8" ht="45" customHeight="1" x14ac:dyDescent="0.25">
      <c r="A927" s="136">
        <f t="shared" si="14"/>
        <v>915</v>
      </c>
      <c r="B927" s="265"/>
      <c r="C927" s="386"/>
      <c r="D927" s="387"/>
      <c r="E927" s="264"/>
      <c r="F927" s="375"/>
      <c r="G927" s="376"/>
      <c r="H927" s="264"/>
    </row>
    <row r="928" spans="1:8" ht="45" customHeight="1" x14ac:dyDescent="0.25">
      <c r="A928" s="136">
        <f t="shared" si="14"/>
        <v>916</v>
      </c>
      <c r="B928" s="265"/>
      <c r="C928" s="386"/>
      <c r="D928" s="387"/>
      <c r="E928" s="264"/>
      <c r="F928" s="375"/>
      <c r="G928" s="376"/>
      <c r="H928" s="264"/>
    </row>
    <row r="929" spans="1:8" ht="45" customHeight="1" x14ac:dyDescent="0.25">
      <c r="A929" s="136">
        <f t="shared" si="14"/>
        <v>917</v>
      </c>
      <c r="B929" s="265"/>
      <c r="C929" s="386"/>
      <c r="D929" s="387"/>
      <c r="E929" s="264"/>
      <c r="F929" s="375"/>
      <c r="G929" s="376"/>
      <c r="H929" s="264"/>
    </row>
    <row r="930" spans="1:8" ht="45" customHeight="1" x14ac:dyDescent="0.25">
      <c r="A930" s="136">
        <f t="shared" si="14"/>
        <v>918</v>
      </c>
      <c r="B930" s="265"/>
      <c r="C930" s="386"/>
      <c r="D930" s="387"/>
      <c r="E930" s="264"/>
      <c r="F930" s="375"/>
      <c r="G930" s="376"/>
      <c r="H930" s="264"/>
    </row>
    <row r="931" spans="1:8" ht="45" customHeight="1" x14ac:dyDescent="0.25">
      <c r="A931" s="136">
        <f t="shared" si="14"/>
        <v>919</v>
      </c>
      <c r="B931" s="265"/>
      <c r="C931" s="386"/>
      <c r="D931" s="387"/>
      <c r="E931" s="264"/>
      <c r="F931" s="375"/>
      <c r="G931" s="376"/>
      <c r="H931" s="264"/>
    </row>
    <row r="932" spans="1:8" ht="45" customHeight="1" x14ac:dyDescent="0.25">
      <c r="A932" s="136">
        <f t="shared" si="14"/>
        <v>920</v>
      </c>
      <c r="B932" s="265"/>
      <c r="C932" s="386"/>
      <c r="D932" s="387"/>
      <c r="E932" s="264"/>
      <c r="F932" s="375"/>
      <c r="G932" s="376"/>
      <c r="H932" s="264"/>
    </row>
    <row r="933" spans="1:8" ht="45" customHeight="1" x14ac:dyDescent="0.25">
      <c r="A933" s="136">
        <f t="shared" si="14"/>
        <v>921</v>
      </c>
      <c r="B933" s="265"/>
      <c r="C933" s="386"/>
      <c r="D933" s="387"/>
      <c r="E933" s="264"/>
      <c r="F933" s="375"/>
      <c r="G933" s="376"/>
      <c r="H933" s="264"/>
    </row>
    <row r="934" spans="1:8" ht="45" customHeight="1" x14ac:dyDescent="0.25">
      <c r="A934" s="136">
        <f t="shared" si="14"/>
        <v>922</v>
      </c>
      <c r="B934" s="265"/>
      <c r="C934" s="386"/>
      <c r="D934" s="387"/>
      <c r="E934" s="264"/>
      <c r="F934" s="375"/>
      <c r="G934" s="376"/>
      <c r="H934" s="264"/>
    </row>
    <row r="935" spans="1:8" ht="45" customHeight="1" x14ac:dyDescent="0.25">
      <c r="A935" s="136">
        <f t="shared" si="14"/>
        <v>923</v>
      </c>
      <c r="B935" s="265"/>
      <c r="C935" s="386"/>
      <c r="D935" s="387"/>
      <c r="E935" s="264"/>
      <c r="F935" s="375"/>
      <c r="G935" s="376"/>
      <c r="H935" s="264"/>
    </row>
    <row r="936" spans="1:8" ht="45" customHeight="1" x14ac:dyDescent="0.25">
      <c r="A936" s="136">
        <f t="shared" si="14"/>
        <v>924</v>
      </c>
      <c r="B936" s="265"/>
      <c r="C936" s="386"/>
      <c r="D936" s="387"/>
      <c r="E936" s="264"/>
      <c r="F936" s="375"/>
      <c r="G936" s="376"/>
      <c r="H936" s="264"/>
    </row>
    <row r="937" spans="1:8" ht="45" customHeight="1" x14ac:dyDescent="0.25">
      <c r="A937" s="136">
        <f t="shared" si="14"/>
        <v>925</v>
      </c>
      <c r="B937" s="265"/>
      <c r="C937" s="386"/>
      <c r="D937" s="387"/>
      <c r="E937" s="264"/>
      <c r="F937" s="375"/>
      <c r="G937" s="376"/>
      <c r="H937" s="264"/>
    </row>
    <row r="938" spans="1:8" ht="45" customHeight="1" x14ac:dyDescent="0.25">
      <c r="A938" s="136">
        <f t="shared" si="14"/>
        <v>926</v>
      </c>
      <c r="B938" s="265"/>
      <c r="C938" s="386"/>
      <c r="D938" s="387"/>
      <c r="E938" s="264"/>
      <c r="F938" s="375"/>
      <c r="G938" s="376"/>
      <c r="H938" s="264"/>
    </row>
    <row r="939" spans="1:8" ht="45" customHeight="1" x14ac:dyDescent="0.25">
      <c r="A939" s="136">
        <f t="shared" si="14"/>
        <v>927</v>
      </c>
      <c r="B939" s="265"/>
      <c r="C939" s="386"/>
      <c r="D939" s="387"/>
      <c r="E939" s="264"/>
      <c r="F939" s="375"/>
      <c r="G939" s="376"/>
      <c r="H939" s="264"/>
    </row>
    <row r="940" spans="1:8" ht="45" customHeight="1" x14ac:dyDescent="0.25">
      <c r="A940" s="136">
        <f t="shared" si="14"/>
        <v>928</v>
      </c>
      <c r="B940" s="265"/>
      <c r="C940" s="386"/>
      <c r="D940" s="387"/>
      <c r="E940" s="264"/>
      <c r="F940" s="375"/>
      <c r="G940" s="376"/>
      <c r="H940" s="264"/>
    </row>
    <row r="941" spans="1:8" ht="45" customHeight="1" x14ac:dyDescent="0.25">
      <c r="A941" s="136">
        <f t="shared" si="14"/>
        <v>929</v>
      </c>
      <c r="B941" s="265"/>
      <c r="C941" s="386"/>
      <c r="D941" s="387"/>
      <c r="E941" s="264"/>
      <c r="F941" s="375"/>
      <c r="G941" s="376"/>
      <c r="H941" s="264"/>
    </row>
    <row r="942" spans="1:8" ht="45" customHeight="1" x14ac:dyDescent="0.25">
      <c r="A942" s="136">
        <f t="shared" si="14"/>
        <v>930</v>
      </c>
      <c r="B942" s="265"/>
      <c r="C942" s="386"/>
      <c r="D942" s="387"/>
      <c r="E942" s="264"/>
      <c r="F942" s="375"/>
      <c r="G942" s="376"/>
      <c r="H942" s="264"/>
    </row>
    <row r="943" spans="1:8" ht="45" customHeight="1" x14ac:dyDescent="0.25">
      <c r="A943" s="136">
        <f t="shared" si="14"/>
        <v>931</v>
      </c>
      <c r="B943" s="265"/>
      <c r="C943" s="386"/>
      <c r="D943" s="387"/>
      <c r="E943" s="264"/>
      <c r="F943" s="375"/>
      <c r="G943" s="376"/>
      <c r="H943" s="264"/>
    </row>
    <row r="944" spans="1:8" ht="45" customHeight="1" x14ac:dyDescent="0.25">
      <c r="A944" s="136">
        <f t="shared" si="14"/>
        <v>932</v>
      </c>
      <c r="B944" s="265"/>
      <c r="C944" s="386"/>
      <c r="D944" s="387"/>
      <c r="E944" s="264"/>
      <c r="F944" s="375"/>
      <c r="G944" s="376"/>
      <c r="H944" s="264"/>
    </row>
    <row r="945" spans="1:8" ht="45" customHeight="1" x14ac:dyDescent="0.25">
      <c r="A945" s="136">
        <f t="shared" si="14"/>
        <v>933</v>
      </c>
      <c r="B945" s="265"/>
      <c r="C945" s="386"/>
      <c r="D945" s="387"/>
      <c r="E945" s="264"/>
      <c r="F945" s="375"/>
      <c r="G945" s="376"/>
      <c r="H945" s="264"/>
    </row>
    <row r="946" spans="1:8" ht="45" customHeight="1" x14ac:dyDescent="0.25">
      <c r="A946" s="136">
        <f t="shared" si="14"/>
        <v>934</v>
      </c>
      <c r="B946" s="265"/>
      <c r="C946" s="386"/>
      <c r="D946" s="387"/>
      <c r="E946" s="264"/>
      <c r="F946" s="375"/>
      <c r="G946" s="376"/>
      <c r="H946" s="264"/>
    </row>
    <row r="947" spans="1:8" ht="45" customHeight="1" x14ac:dyDescent="0.25">
      <c r="A947" s="136">
        <f t="shared" si="14"/>
        <v>935</v>
      </c>
      <c r="B947" s="265"/>
      <c r="C947" s="386"/>
      <c r="D947" s="387"/>
      <c r="E947" s="264"/>
      <c r="F947" s="375"/>
      <c r="G947" s="376"/>
      <c r="H947" s="264"/>
    </row>
    <row r="948" spans="1:8" ht="45" customHeight="1" x14ac:dyDescent="0.25">
      <c r="A948" s="136">
        <f t="shared" si="14"/>
        <v>936</v>
      </c>
      <c r="B948" s="265"/>
      <c r="C948" s="386"/>
      <c r="D948" s="387"/>
      <c r="E948" s="264"/>
      <c r="F948" s="375"/>
      <c r="G948" s="376"/>
      <c r="H948" s="264"/>
    </row>
    <row r="949" spans="1:8" ht="45" customHeight="1" x14ac:dyDescent="0.25">
      <c r="A949" s="136">
        <f t="shared" si="14"/>
        <v>937</v>
      </c>
      <c r="B949" s="265"/>
      <c r="C949" s="386"/>
      <c r="D949" s="387"/>
      <c r="E949" s="264"/>
      <c r="F949" s="375"/>
      <c r="G949" s="376"/>
      <c r="H949" s="264"/>
    </row>
    <row r="950" spans="1:8" ht="45" customHeight="1" x14ac:dyDescent="0.25">
      <c r="A950" s="136">
        <f t="shared" si="14"/>
        <v>938</v>
      </c>
      <c r="B950" s="265"/>
      <c r="C950" s="386"/>
      <c r="D950" s="387"/>
      <c r="E950" s="264"/>
      <c r="F950" s="375"/>
      <c r="G950" s="376"/>
      <c r="H950" s="264"/>
    </row>
    <row r="951" spans="1:8" ht="45" customHeight="1" x14ac:dyDescent="0.25">
      <c r="A951" s="136">
        <f t="shared" si="14"/>
        <v>939</v>
      </c>
      <c r="B951" s="265"/>
      <c r="C951" s="386"/>
      <c r="D951" s="387"/>
      <c r="E951" s="264"/>
      <c r="F951" s="375"/>
      <c r="G951" s="376"/>
      <c r="H951" s="264"/>
    </row>
    <row r="952" spans="1:8" ht="45" customHeight="1" x14ac:dyDescent="0.25">
      <c r="A952" s="136">
        <f t="shared" si="14"/>
        <v>940</v>
      </c>
      <c r="B952" s="265"/>
      <c r="C952" s="386"/>
      <c r="D952" s="387"/>
      <c r="E952" s="264"/>
      <c r="F952" s="375"/>
      <c r="G952" s="376"/>
      <c r="H952" s="264"/>
    </row>
    <row r="953" spans="1:8" ht="45" customHeight="1" x14ac:dyDescent="0.25">
      <c r="A953" s="136">
        <f t="shared" si="14"/>
        <v>941</v>
      </c>
      <c r="B953" s="265"/>
      <c r="C953" s="386"/>
      <c r="D953" s="387"/>
      <c r="E953" s="264"/>
      <c r="F953" s="375"/>
      <c r="G953" s="376"/>
      <c r="H953" s="264"/>
    </row>
    <row r="954" spans="1:8" ht="45" customHeight="1" x14ac:dyDescent="0.25">
      <c r="A954" s="136">
        <f t="shared" si="14"/>
        <v>942</v>
      </c>
      <c r="B954" s="265"/>
      <c r="C954" s="386"/>
      <c r="D954" s="387"/>
      <c r="E954" s="264"/>
      <c r="F954" s="375"/>
      <c r="G954" s="376"/>
      <c r="H954" s="264"/>
    </row>
    <row r="955" spans="1:8" ht="45" customHeight="1" x14ac:dyDescent="0.25">
      <c r="A955" s="136">
        <f t="shared" si="14"/>
        <v>943</v>
      </c>
      <c r="B955" s="265"/>
      <c r="C955" s="386"/>
      <c r="D955" s="387"/>
      <c r="E955" s="264"/>
      <c r="F955" s="375"/>
      <c r="G955" s="376"/>
      <c r="H955" s="264"/>
    </row>
    <row r="956" spans="1:8" ht="45" customHeight="1" x14ac:dyDescent="0.25">
      <c r="A956" s="136">
        <f t="shared" si="14"/>
        <v>944</v>
      </c>
      <c r="B956" s="265"/>
      <c r="C956" s="386"/>
      <c r="D956" s="387"/>
      <c r="E956" s="264"/>
      <c r="F956" s="375"/>
      <c r="G956" s="376"/>
      <c r="H956" s="264"/>
    </row>
    <row r="957" spans="1:8" ht="45" customHeight="1" x14ac:dyDescent="0.25">
      <c r="A957" s="136">
        <f t="shared" si="14"/>
        <v>945</v>
      </c>
      <c r="B957" s="265"/>
      <c r="C957" s="386"/>
      <c r="D957" s="387"/>
      <c r="E957" s="264"/>
      <c r="F957" s="375"/>
      <c r="G957" s="376"/>
      <c r="H957" s="264"/>
    </row>
    <row r="958" spans="1:8" ht="45" customHeight="1" x14ac:dyDescent="0.25">
      <c r="A958" s="136">
        <f t="shared" si="14"/>
        <v>946</v>
      </c>
      <c r="B958" s="265"/>
      <c r="C958" s="386"/>
      <c r="D958" s="387"/>
      <c r="E958" s="264"/>
      <c r="F958" s="375"/>
      <c r="G958" s="376"/>
      <c r="H958" s="264"/>
    </row>
    <row r="959" spans="1:8" ht="45" customHeight="1" x14ac:dyDescent="0.25">
      <c r="A959" s="136">
        <f t="shared" si="14"/>
        <v>947</v>
      </c>
      <c r="B959" s="265"/>
      <c r="C959" s="386"/>
      <c r="D959" s="387"/>
      <c r="E959" s="264"/>
      <c r="F959" s="375"/>
      <c r="G959" s="376"/>
      <c r="H959" s="264"/>
    </row>
    <row r="960" spans="1:8" ht="45" customHeight="1" x14ac:dyDescent="0.25">
      <c r="A960" s="136">
        <f t="shared" si="14"/>
        <v>948</v>
      </c>
      <c r="B960" s="265"/>
      <c r="C960" s="386"/>
      <c r="D960" s="387"/>
      <c r="E960" s="264"/>
      <c r="F960" s="375"/>
      <c r="G960" s="376"/>
      <c r="H960" s="264"/>
    </row>
    <row r="961" spans="1:8" ht="45" customHeight="1" x14ac:dyDescent="0.25">
      <c r="A961" s="136">
        <f t="shared" si="14"/>
        <v>949</v>
      </c>
      <c r="B961" s="265"/>
      <c r="C961" s="386"/>
      <c r="D961" s="387"/>
      <c r="E961" s="264"/>
      <c r="F961" s="375"/>
      <c r="G961" s="376"/>
      <c r="H961" s="264"/>
    </row>
    <row r="962" spans="1:8" ht="45" customHeight="1" x14ac:dyDescent="0.25">
      <c r="A962" s="136">
        <f t="shared" si="14"/>
        <v>950</v>
      </c>
      <c r="B962" s="265"/>
      <c r="C962" s="386"/>
      <c r="D962" s="387"/>
      <c r="E962" s="264"/>
      <c r="F962" s="375"/>
      <c r="G962" s="376"/>
      <c r="H962" s="264"/>
    </row>
    <row r="963" spans="1:8" ht="45" customHeight="1" x14ac:dyDescent="0.25">
      <c r="A963" s="136">
        <f t="shared" si="14"/>
        <v>951</v>
      </c>
      <c r="B963" s="265"/>
      <c r="C963" s="386"/>
      <c r="D963" s="387"/>
      <c r="E963" s="264"/>
      <c r="F963" s="375"/>
      <c r="G963" s="376"/>
      <c r="H963" s="264"/>
    </row>
    <row r="964" spans="1:8" ht="45" customHeight="1" x14ac:dyDescent="0.25">
      <c r="A964" s="136">
        <f t="shared" si="14"/>
        <v>952</v>
      </c>
      <c r="B964" s="265"/>
      <c r="C964" s="386"/>
      <c r="D964" s="387"/>
      <c r="E964" s="264"/>
      <c r="F964" s="375"/>
      <c r="G964" s="376"/>
      <c r="H964" s="264"/>
    </row>
    <row r="965" spans="1:8" ht="45" customHeight="1" x14ac:dyDescent="0.25">
      <c r="A965" s="136">
        <f t="shared" si="14"/>
        <v>953</v>
      </c>
      <c r="B965" s="265"/>
      <c r="C965" s="386"/>
      <c r="D965" s="387"/>
      <c r="E965" s="264"/>
      <c r="F965" s="375"/>
      <c r="G965" s="376"/>
      <c r="H965" s="264"/>
    </row>
    <row r="966" spans="1:8" ht="45" customHeight="1" x14ac:dyDescent="0.25">
      <c r="A966" s="136">
        <f t="shared" si="14"/>
        <v>954</v>
      </c>
      <c r="B966" s="265"/>
      <c r="C966" s="386"/>
      <c r="D966" s="387"/>
      <c r="E966" s="264"/>
      <c r="F966" s="375"/>
      <c r="G966" s="376"/>
      <c r="H966" s="264"/>
    </row>
    <row r="967" spans="1:8" ht="45" customHeight="1" x14ac:dyDescent="0.25">
      <c r="A967" s="136">
        <f t="shared" si="14"/>
        <v>955</v>
      </c>
      <c r="B967" s="265"/>
      <c r="C967" s="386"/>
      <c r="D967" s="387"/>
      <c r="E967" s="264"/>
      <c r="F967" s="375"/>
      <c r="G967" s="376"/>
      <c r="H967" s="264"/>
    </row>
    <row r="968" spans="1:8" ht="45" customHeight="1" x14ac:dyDescent="0.25">
      <c r="A968" s="136">
        <f t="shared" si="14"/>
        <v>956</v>
      </c>
      <c r="B968" s="265"/>
      <c r="C968" s="386"/>
      <c r="D968" s="387"/>
      <c r="E968" s="264"/>
      <c r="F968" s="375"/>
      <c r="G968" s="376"/>
      <c r="H968" s="264"/>
    </row>
    <row r="969" spans="1:8" ht="45" customHeight="1" x14ac:dyDescent="0.25">
      <c r="A969" s="136">
        <f t="shared" si="14"/>
        <v>957</v>
      </c>
      <c r="B969" s="265"/>
      <c r="C969" s="386"/>
      <c r="D969" s="387"/>
      <c r="E969" s="264"/>
      <c r="F969" s="375"/>
      <c r="G969" s="376"/>
      <c r="H969" s="264"/>
    </row>
    <row r="970" spans="1:8" ht="45" customHeight="1" x14ac:dyDescent="0.25">
      <c r="A970" s="136">
        <f t="shared" si="14"/>
        <v>958</v>
      </c>
      <c r="B970" s="265"/>
      <c r="C970" s="386"/>
      <c r="D970" s="387"/>
      <c r="E970" s="264"/>
      <c r="F970" s="375"/>
      <c r="G970" s="376"/>
      <c r="H970" s="264"/>
    </row>
    <row r="971" spans="1:8" ht="45" customHeight="1" x14ac:dyDescent="0.25">
      <c r="A971" s="136">
        <f t="shared" si="14"/>
        <v>959</v>
      </c>
      <c r="B971" s="265"/>
      <c r="C971" s="386"/>
      <c r="D971" s="387"/>
      <c r="E971" s="264"/>
      <c r="F971" s="375"/>
      <c r="G971" s="376"/>
      <c r="H971" s="264"/>
    </row>
    <row r="972" spans="1:8" ht="45" customHeight="1" x14ac:dyDescent="0.25">
      <c r="A972" s="136">
        <f t="shared" si="14"/>
        <v>960</v>
      </c>
      <c r="B972" s="265"/>
      <c r="C972" s="386"/>
      <c r="D972" s="387"/>
      <c r="E972" s="264"/>
      <c r="F972" s="375"/>
      <c r="G972" s="376"/>
      <c r="H972" s="264"/>
    </row>
    <row r="973" spans="1:8" ht="45" customHeight="1" x14ac:dyDescent="0.25">
      <c r="A973" s="136">
        <f t="shared" si="14"/>
        <v>961</v>
      </c>
      <c r="B973" s="265"/>
      <c r="C973" s="386"/>
      <c r="D973" s="387"/>
      <c r="E973" s="264"/>
      <c r="F973" s="375"/>
      <c r="G973" s="376"/>
      <c r="H973" s="264"/>
    </row>
    <row r="974" spans="1:8" ht="45" customHeight="1" x14ac:dyDescent="0.25">
      <c r="A974" s="136">
        <f t="shared" ref="A974:A1000" si="15">ROW(A962)</f>
        <v>962</v>
      </c>
      <c r="B974" s="265"/>
      <c r="C974" s="386"/>
      <c r="D974" s="387"/>
      <c r="E974" s="264"/>
      <c r="F974" s="375"/>
      <c r="G974" s="376"/>
      <c r="H974" s="264"/>
    </row>
    <row r="975" spans="1:8" ht="45" customHeight="1" x14ac:dyDescent="0.25">
      <c r="A975" s="136">
        <f t="shared" si="15"/>
        <v>963</v>
      </c>
      <c r="B975" s="265"/>
      <c r="C975" s="386"/>
      <c r="D975" s="387"/>
      <c r="E975" s="264"/>
      <c r="F975" s="375"/>
      <c r="G975" s="376"/>
      <c r="H975" s="264"/>
    </row>
    <row r="976" spans="1:8" ht="45" customHeight="1" x14ac:dyDescent="0.25">
      <c r="A976" s="136">
        <f t="shared" si="15"/>
        <v>964</v>
      </c>
      <c r="B976" s="265"/>
      <c r="C976" s="386"/>
      <c r="D976" s="387"/>
      <c r="E976" s="264"/>
      <c r="F976" s="375"/>
      <c r="G976" s="376"/>
      <c r="H976" s="264"/>
    </row>
    <row r="977" spans="1:8" ht="45" customHeight="1" x14ac:dyDescent="0.25">
      <c r="A977" s="136">
        <f t="shared" si="15"/>
        <v>965</v>
      </c>
      <c r="B977" s="265"/>
      <c r="C977" s="386"/>
      <c r="D977" s="387"/>
      <c r="E977" s="264"/>
      <c r="F977" s="375"/>
      <c r="G977" s="376"/>
      <c r="H977" s="264"/>
    </row>
    <row r="978" spans="1:8" ht="45" customHeight="1" x14ac:dyDescent="0.25">
      <c r="A978" s="136">
        <f t="shared" si="15"/>
        <v>966</v>
      </c>
      <c r="B978" s="265"/>
      <c r="C978" s="386"/>
      <c r="D978" s="387"/>
      <c r="E978" s="264"/>
      <c r="F978" s="375"/>
      <c r="G978" s="376"/>
      <c r="H978" s="264"/>
    </row>
    <row r="979" spans="1:8" ht="45" customHeight="1" x14ac:dyDescent="0.25">
      <c r="A979" s="136">
        <f t="shared" si="15"/>
        <v>967</v>
      </c>
      <c r="B979" s="265"/>
      <c r="C979" s="386"/>
      <c r="D979" s="387"/>
      <c r="E979" s="264"/>
      <c r="F979" s="375"/>
      <c r="G979" s="376"/>
      <c r="H979" s="264"/>
    </row>
    <row r="980" spans="1:8" ht="45" customHeight="1" x14ac:dyDescent="0.25">
      <c r="A980" s="136">
        <f t="shared" si="15"/>
        <v>968</v>
      </c>
      <c r="B980" s="265"/>
      <c r="C980" s="386"/>
      <c r="D980" s="387"/>
      <c r="E980" s="264"/>
      <c r="F980" s="375"/>
      <c r="G980" s="376"/>
      <c r="H980" s="264"/>
    </row>
    <row r="981" spans="1:8" ht="45" customHeight="1" x14ac:dyDescent="0.25">
      <c r="A981" s="136">
        <f t="shared" si="15"/>
        <v>969</v>
      </c>
      <c r="B981" s="265"/>
      <c r="C981" s="386"/>
      <c r="D981" s="387"/>
      <c r="E981" s="264"/>
      <c r="F981" s="375"/>
      <c r="G981" s="376"/>
      <c r="H981" s="264"/>
    </row>
    <row r="982" spans="1:8" ht="45" customHeight="1" x14ac:dyDescent="0.25">
      <c r="A982" s="136">
        <f t="shared" si="15"/>
        <v>970</v>
      </c>
      <c r="B982" s="265"/>
      <c r="C982" s="386"/>
      <c r="D982" s="387"/>
      <c r="E982" s="264"/>
      <c r="F982" s="375"/>
      <c r="G982" s="376"/>
      <c r="H982" s="264"/>
    </row>
    <row r="983" spans="1:8" ht="45" customHeight="1" x14ac:dyDescent="0.25">
      <c r="A983" s="136">
        <f t="shared" si="15"/>
        <v>971</v>
      </c>
      <c r="B983" s="265"/>
      <c r="C983" s="386"/>
      <c r="D983" s="387"/>
      <c r="E983" s="264"/>
      <c r="F983" s="375"/>
      <c r="G983" s="376"/>
      <c r="H983" s="264"/>
    </row>
    <row r="984" spans="1:8" ht="45" customHeight="1" x14ac:dyDescent="0.25">
      <c r="A984" s="136">
        <f t="shared" si="15"/>
        <v>972</v>
      </c>
      <c r="B984" s="265"/>
      <c r="C984" s="386"/>
      <c r="D984" s="387"/>
      <c r="E984" s="264"/>
      <c r="F984" s="375"/>
      <c r="G984" s="376"/>
      <c r="H984" s="264"/>
    </row>
    <row r="985" spans="1:8" ht="45" customHeight="1" x14ac:dyDescent="0.25">
      <c r="A985" s="136">
        <f t="shared" si="15"/>
        <v>973</v>
      </c>
      <c r="B985" s="265"/>
      <c r="C985" s="386"/>
      <c r="D985" s="387"/>
      <c r="E985" s="264"/>
      <c r="F985" s="375"/>
      <c r="G985" s="376"/>
      <c r="H985" s="264"/>
    </row>
    <row r="986" spans="1:8" ht="45" customHeight="1" x14ac:dyDescent="0.25">
      <c r="A986" s="136">
        <f t="shared" si="15"/>
        <v>974</v>
      </c>
      <c r="B986" s="265"/>
      <c r="C986" s="386"/>
      <c r="D986" s="387"/>
      <c r="E986" s="264"/>
      <c r="F986" s="375"/>
      <c r="G986" s="376"/>
      <c r="H986" s="264"/>
    </row>
    <row r="987" spans="1:8" ht="45" customHeight="1" x14ac:dyDescent="0.25">
      <c r="A987" s="136">
        <f t="shared" si="15"/>
        <v>975</v>
      </c>
      <c r="B987" s="265"/>
      <c r="C987" s="386"/>
      <c r="D987" s="387"/>
      <c r="E987" s="264"/>
      <c r="F987" s="375"/>
      <c r="G987" s="376"/>
      <c r="H987" s="264"/>
    </row>
    <row r="988" spans="1:8" ht="45" customHeight="1" x14ac:dyDescent="0.25">
      <c r="A988" s="136">
        <f t="shared" si="15"/>
        <v>976</v>
      </c>
      <c r="B988" s="265"/>
      <c r="C988" s="386"/>
      <c r="D988" s="387"/>
      <c r="E988" s="264"/>
      <c r="F988" s="375"/>
      <c r="G988" s="376"/>
      <c r="H988" s="264"/>
    </row>
    <row r="989" spans="1:8" ht="45" customHeight="1" x14ac:dyDescent="0.25">
      <c r="A989" s="136">
        <f t="shared" si="15"/>
        <v>977</v>
      </c>
      <c r="B989" s="265"/>
      <c r="C989" s="386"/>
      <c r="D989" s="387"/>
      <c r="E989" s="264"/>
      <c r="F989" s="375"/>
      <c r="G989" s="376"/>
      <c r="H989" s="264"/>
    </row>
    <row r="990" spans="1:8" ht="45" customHeight="1" x14ac:dyDescent="0.25">
      <c r="A990" s="136">
        <f t="shared" si="15"/>
        <v>978</v>
      </c>
      <c r="B990" s="265"/>
      <c r="C990" s="386"/>
      <c r="D990" s="387"/>
      <c r="E990" s="264"/>
      <c r="F990" s="375"/>
      <c r="G990" s="376"/>
      <c r="H990" s="264"/>
    </row>
    <row r="991" spans="1:8" ht="45" customHeight="1" x14ac:dyDescent="0.25">
      <c r="A991" s="136">
        <f t="shared" si="15"/>
        <v>979</v>
      </c>
      <c r="B991" s="265"/>
      <c r="C991" s="386"/>
      <c r="D991" s="387"/>
      <c r="E991" s="264"/>
      <c r="F991" s="375"/>
      <c r="G991" s="376"/>
      <c r="H991" s="264"/>
    </row>
    <row r="992" spans="1:8" ht="45" customHeight="1" x14ac:dyDescent="0.25">
      <c r="A992" s="136">
        <f t="shared" si="15"/>
        <v>980</v>
      </c>
      <c r="B992" s="265"/>
      <c r="C992" s="386"/>
      <c r="D992" s="387"/>
      <c r="E992" s="264"/>
      <c r="F992" s="375"/>
      <c r="G992" s="376"/>
      <c r="H992" s="264"/>
    </row>
    <row r="993" spans="1:8" ht="45" customHeight="1" x14ac:dyDescent="0.25">
      <c r="A993" s="136">
        <f t="shared" si="15"/>
        <v>981</v>
      </c>
      <c r="B993" s="265"/>
      <c r="C993" s="386"/>
      <c r="D993" s="387"/>
      <c r="E993" s="264"/>
      <c r="F993" s="375"/>
      <c r="G993" s="376"/>
      <c r="H993" s="264"/>
    </row>
    <row r="994" spans="1:8" ht="45" customHeight="1" x14ac:dyDescent="0.25">
      <c r="A994" s="136">
        <f t="shared" si="15"/>
        <v>982</v>
      </c>
      <c r="B994" s="265"/>
      <c r="C994" s="386"/>
      <c r="D994" s="387"/>
      <c r="E994" s="264"/>
      <c r="F994" s="375"/>
      <c r="G994" s="376"/>
      <c r="H994" s="264"/>
    </row>
    <row r="995" spans="1:8" ht="45" customHeight="1" x14ac:dyDescent="0.25">
      <c r="A995" s="136">
        <f t="shared" si="15"/>
        <v>983</v>
      </c>
      <c r="B995" s="265"/>
      <c r="C995" s="386"/>
      <c r="D995" s="387"/>
      <c r="E995" s="264"/>
      <c r="F995" s="375"/>
      <c r="G995" s="376"/>
      <c r="H995" s="264"/>
    </row>
    <row r="996" spans="1:8" ht="45" customHeight="1" x14ac:dyDescent="0.25">
      <c r="A996" s="136">
        <f t="shared" si="15"/>
        <v>984</v>
      </c>
      <c r="B996" s="265"/>
      <c r="C996" s="386"/>
      <c r="D996" s="387"/>
      <c r="E996" s="264"/>
      <c r="F996" s="375"/>
      <c r="G996" s="376"/>
      <c r="H996" s="264"/>
    </row>
    <row r="997" spans="1:8" ht="45" customHeight="1" x14ac:dyDescent="0.25">
      <c r="A997" s="136">
        <f t="shared" si="15"/>
        <v>985</v>
      </c>
      <c r="B997" s="265"/>
      <c r="C997" s="386"/>
      <c r="D997" s="387"/>
      <c r="E997" s="264"/>
      <c r="F997" s="375"/>
      <c r="G997" s="376"/>
      <c r="H997" s="264"/>
    </row>
    <row r="998" spans="1:8" ht="45" customHeight="1" x14ac:dyDescent="0.25">
      <c r="A998" s="136">
        <f t="shared" si="15"/>
        <v>986</v>
      </c>
      <c r="B998" s="265"/>
      <c r="C998" s="386"/>
      <c r="D998" s="387"/>
      <c r="E998" s="264"/>
      <c r="F998" s="375"/>
      <c r="G998" s="376"/>
      <c r="H998" s="264"/>
    </row>
    <row r="999" spans="1:8" ht="45" customHeight="1" x14ac:dyDescent="0.25">
      <c r="A999" s="136">
        <f t="shared" si="15"/>
        <v>987</v>
      </c>
      <c r="B999" s="265"/>
      <c r="C999" s="386"/>
      <c r="D999" s="387"/>
      <c r="E999" s="264"/>
      <c r="F999" s="375"/>
      <c r="G999" s="376"/>
      <c r="H999" s="264"/>
    </row>
    <row r="1000" spans="1:8" ht="45" customHeight="1" x14ac:dyDescent="0.25">
      <c r="A1000" s="136">
        <f t="shared" si="15"/>
        <v>988</v>
      </c>
      <c r="B1000" s="265"/>
      <c r="C1000" s="386"/>
      <c r="D1000" s="387"/>
      <c r="E1000" s="264"/>
      <c r="F1000" s="375"/>
      <c r="G1000" s="376"/>
      <c r="H1000" s="264"/>
    </row>
  </sheetData>
  <sheetProtection algorithmName="SHA-512" hashValue="oOj50BvIgNKAjc/a6cXcy9ZM77DBUIlWB03EsfPxlwGSE4xzNzp86foDPnbH7OCIPjS8kt4wibez4wxdrrEVbA==" saltValue="PAOjdxHgKGgNW9FWhLGZQA==" spinCount="100000" sheet="1" objects="1" scenarios="1"/>
  <mergeCells count="1997">
    <mergeCell ref="C997:D997"/>
    <mergeCell ref="C998:D998"/>
    <mergeCell ref="C999:D999"/>
    <mergeCell ref="C1000:D1000"/>
    <mergeCell ref="C988:D988"/>
    <mergeCell ref="C989:D989"/>
    <mergeCell ref="C990:D990"/>
    <mergeCell ref="C991:D991"/>
    <mergeCell ref="C992:D992"/>
    <mergeCell ref="C993:D993"/>
    <mergeCell ref="C994:D994"/>
    <mergeCell ref="C995:D995"/>
    <mergeCell ref="C996:D996"/>
    <mergeCell ref="C979:D979"/>
    <mergeCell ref="C980:D980"/>
    <mergeCell ref="C981:D981"/>
    <mergeCell ref="C982:D982"/>
    <mergeCell ref="C983:D983"/>
    <mergeCell ref="C984:D984"/>
    <mergeCell ref="C985:D985"/>
    <mergeCell ref="C986:D986"/>
    <mergeCell ref="C987:D987"/>
    <mergeCell ref="C970:D970"/>
    <mergeCell ref="C971:D971"/>
    <mergeCell ref="C972:D972"/>
    <mergeCell ref="C973:D973"/>
    <mergeCell ref="C974:D974"/>
    <mergeCell ref="C975:D975"/>
    <mergeCell ref="C976:D976"/>
    <mergeCell ref="C977:D977"/>
    <mergeCell ref="C978:D978"/>
    <mergeCell ref="C961:D961"/>
    <mergeCell ref="C962:D962"/>
    <mergeCell ref="C963:D963"/>
    <mergeCell ref="C964:D964"/>
    <mergeCell ref="C965:D965"/>
    <mergeCell ref="C966:D966"/>
    <mergeCell ref="C967:D967"/>
    <mergeCell ref="C968:D968"/>
    <mergeCell ref="C969:D969"/>
    <mergeCell ref="C952:D952"/>
    <mergeCell ref="C953:D953"/>
    <mergeCell ref="C954:D954"/>
    <mergeCell ref="C955:D955"/>
    <mergeCell ref="C956:D956"/>
    <mergeCell ref="C957:D957"/>
    <mergeCell ref="C958:D958"/>
    <mergeCell ref="C959:D959"/>
    <mergeCell ref="C960:D960"/>
    <mergeCell ref="C943:D943"/>
    <mergeCell ref="C944:D944"/>
    <mergeCell ref="C945:D945"/>
    <mergeCell ref="C946:D946"/>
    <mergeCell ref="C947:D947"/>
    <mergeCell ref="C948:D948"/>
    <mergeCell ref="C949:D949"/>
    <mergeCell ref="C950:D950"/>
    <mergeCell ref="C951:D951"/>
    <mergeCell ref="C934:D934"/>
    <mergeCell ref="C935:D935"/>
    <mergeCell ref="C936:D936"/>
    <mergeCell ref="C937:D937"/>
    <mergeCell ref="C938:D938"/>
    <mergeCell ref="C939:D939"/>
    <mergeCell ref="C940:D940"/>
    <mergeCell ref="C941:D941"/>
    <mergeCell ref="C942:D942"/>
    <mergeCell ref="C925:D925"/>
    <mergeCell ref="C926:D926"/>
    <mergeCell ref="C927:D927"/>
    <mergeCell ref="C928:D928"/>
    <mergeCell ref="C929:D929"/>
    <mergeCell ref="C930:D930"/>
    <mergeCell ref="C931:D931"/>
    <mergeCell ref="C932:D932"/>
    <mergeCell ref="C933:D933"/>
    <mergeCell ref="C916:D916"/>
    <mergeCell ref="C917:D917"/>
    <mergeCell ref="C918:D918"/>
    <mergeCell ref="C919:D919"/>
    <mergeCell ref="C920:D920"/>
    <mergeCell ref="C921:D921"/>
    <mergeCell ref="C922:D922"/>
    <mergeCell ref="C923:D923"/>
    <mergeCell ref="C924:D924"/>
    <mergeCell ref="C907:D907"/>
    <mergeCell ref="C908:D908"/>
    <mergeCell ref="C909:D909"/>
    <mergeCell ref="C910:D910"/>
    <mergeCell ref="C911:D911"/>
    <mergeCell ref="C912:D912"/>
    <mergeCell ref="C913:D913"/>
    <mergeCell ref="C914:D914"/>
    <mergeCell ref="C915:D915"/>
    <mergeCell ref="C898:D898"/>
    <mergeCell ref="C899:D899"/>
    <mergeCell ref="C900:D900"/>
    <mergeCell ref="C901:D901"/>
    <mergeCell ref="C902:D902"/>
    <mergeCell ref="C903:D903"/>
    <mergeCell ref="C904:D904"/>
    <mergeCell ref="C905:D905"/>
    <mergeCell ref="C906:D906"/>
    <mergeCell ref="C889:D889"/>
    <mergeCell ref="C890:D890"/>
    <mergeCell ref="C891:D891"/>
    <mergeCell ref="C892:D892"/>
    <mergeCell ref="C893:D893"/>
    <mergeCell ref="C894:D894"/>
    <mergeCell ref="C895:D895"/>
    <mergeCell ref="C896:D896"/>
    <mergeCell ref="C897:D897"/>
    <mergeCell ref="C880:D880"/>
    <mergeCell ref="C881:D881"/>
    <mergeCell ref="C882:D882"/>
    <mergeCell ref="C883:D883"/>
    <mergeCell ref="C884:D884"/>
    <mergeCell ref="C885:D885"/>
    <mergeCell ref="C886:D886"/>
    <mergeCell ref="C887:D887"/>
    <mergeCell ref="C888:D888"/>
    <mergeCell ref="C871:D871"/>
    <mergeCell ref="C872:D872"/>
    <mergeCell ref="C873:D873"/>
    <mergeCell ref="C874:D874"/>
    <mergeCell ref="C875:D875"/>
    <mergeCell ref="C876:D876"/>
    <mergeCell ref="C877:D877"/>
    <mergeCell ref="C878:D878"/>
    <mergeCell ref="C879:D879"/>
    <mergeCell ref="C862:D862"/>
    <mergeCell ref="C863:D863"/>
    <mergeCell ref="C864:D864"/>
    <mergeCell ref="C865:D865"/>
    <mergeCell ref="C866:D866"/>
    <mergeCell ref="C867:D867"/>
    <mergeCell ref="C868:D868"/>
    <mergeCell ref="C869:D869"/>
    <mergeCell ref="C870:D870"/>
    <mergeCell ref="C853:D853"/>
    <mergeCell ref="C854:D854"/>
    <mergeCell ref="C855:D855"/>
    <mergeCell ref="C856:D856"/>
    <mergeCell ref="C857:D857"/>
    <mergeCell ref="C858:D858"/>
    <mergeCell ref="C859:D859"/>
    <mergeCell ref="C860:D860"/>
    <mergeCell ref="C861:D861"/>
    <mergeCell ref="C844:D844"/>
    <mergeCell ref="C845:D845"/>
    <mergeCell ref="C846:D846"/>
    <mergeCell ref="C847:D847"/>
    <mergeCell ref="C848:D848"/>
    <mergeCell ref="C849:D849"/>
    <mergeCell ref="C850:D850"/>
    <mergeCell ref="C851:D851"/>
    <mergeCell ref="C852:D852"/>
    <mergeCell ref="C835:D835"/>
    <mergeCell ref="C836:D836"/>
    <mergeCell ref="C837:D837"/>
    <mergeCell ref="C838:D838"/>
    <mergeCell ref="C839:D839"/>
    <mergeCell ref="C840:D840"/>
    <mergeCell ref="C841:D841"/>
    <mergeCell ref="C842:D842"/>
    <mergeCell ref="C843:D843"/>
    <mergeCell ref="C826:D826"/>
    <mergeCell ref="C827:D827"/>
    <mergeCell ref="C828:D828"/>
    <mergeCell ref="C829:D829"/>
    <mergeCell ref="C830:D830"/>
    <mergeCell ref="C831:D831"/>
    <mergeCell ref="C832:D832"/>
    <mergeCell ref="C833:D833"/>
    <mergeCell ref="C834:D834"/>
    <mergeCell ref="C817:D817"/>
    <mergeCell ref="C818:D818"/>
    <mergeCell ref="C819:D819"/>
    <mergeCell ref="C820:D820"/>
    <mergeCell ref="C821:D821"/>
    <mergeCell ref="C822:D822"/>
    <mergeCell ref="C823:D823"/>
    <mergeCell ref="C824:D824"/>
    <mergeCell ref="C825:D825"/>
    <mergeCell ref="C808:D808"/>
    <mergeCell ref="C809:D809"/>
    <mergeCell ref="C810:D810"/>
    <mergeCell ref="C811:D811"/>
    <mergeCell ref="C812:D812"/>
    <mergeCell ref="C813:D813"/>
    <mergeCell ref="C814:D814"/>
    <mergeCell ref="C815:D815"/>
    <mergeCell ref="C816:D816"/>
    <mergeCell ref="C799:D799"/>
    <mergeCell ref="C800:D800"/>
    <mergeCell ref="C801:D801"/>
    <mergeCell ref="C802:D802"/>
    <mergeCell ref="C803:D803"/>
    <mergeCell ref="C804:D804"/>
    <mergeCell ref="C805:D805"/>
    <mergeCell ref="C806:D806"/>
    <mergeCell ref="C807:D807"/>
    <mergeCell ref="C790:D790"/>
    <mergeCell ref="C791:D791"/>
    <mergeCell ref="C792:D792"/>
    <mergeCell ref="C793:D793"/>
    <mergeCell ref="C794:D794"/>
    <mergeCell ref="C795:D795"/>
    <mergeCell ref="C796:D796"/>
    <mergeCell ref="C797:D797"/>
    <mergeCell ref="C798:D798"/>
    <mergeCell ref="C781:D781"/>
    <mergeCell ref="C782:D782"/>
    <mergeCell ref="C783:D783"/>
    <mergeCell ref="C784:D784"/>
    <mergeCell ref="C785:D785"/>
    <mergeCell ref="C786:D786"/>
    <mergeCell ref="C787:D787"/>
    <mergeCell ref="C788:D788"/>
    <mergeCell ref="C789:D789"/>
    <mergeCell ref="C772:D772"/>
    <mergeCell ref="C773:D773"/>
    <mergeCell ref="C774:D774"/>
    <mergeCell ref="C775:D775"/>
    <mergeCell ref="C776:D776"/>
    <mergeCell ref="C777:D777"/>
    <mergeCell ref="C778:D778"/>
    <mergeCell ref="C779:D779"/>
    <mergeCell ref="C780:D780"/>
    <mergeCell ref="C763:D763"/>
    <mergeCell ref="C764:D764"/>
    <mergeCell ref="C765:D765"/>
    <mergeCell ref="C766:D766"/>
    <mergeCell ref="C767:D767"/>
    <mergeCell ref="C768:D768"/>
    <mergeCell ref="C769:D769"/>
    <mergeCell ref="C770:D770"/>
    <mergeCell ref="C771:D771"/>
    <mergeCell ref="C754:D754"/>
    <mergeCell ref="C755:D755"/>
    <mergeCell ref="C756:D756"/>
    <mergeCell ref="C757:D757"/>
    <mergeCell ref="C758:D758"/>
    <mergeCell ref="C759:D759"/>
    <mergeCell ref="C760:D760"/>
    <mergeCell ref="C761:D761"/>
    <mergeCell ref="C762:D762"/>
    <mergeCell ref="C745:D745"/>
    <mergeCell ref="C746:D746"/>
    <mergeCell ref="C747:D747"/>
    <mergeCell ref="C748:D748"/>
    <mergeCell ref="C749:D749"/>
    <mergeCell ref="C750:D750"/>
    <mergeCell ref="C751:D751"/>
    <mergeCell ref="C752:D752"/>
    <mergeCell ref="C753:D753"/>
    <mergeCell ref="C736:D736"/>
    <mergeCell ref="C737:D737"/>
    <mergeCell ref="C738:D738"/>
    <mergeCell ref="C739:D739"/>
    <mergeCell ref="C740:D740"/>
    <mergeCell ref="C741:D741"/>
    <mergeCell ref="C742:D742"/>
    <mergeCell ref="C743:D743"/>
    <mergeCell ref="C744:D744"/>
    <mergeCell ref="C727:D727"/>
    <mergeCell ref="C728:D728"/>
    <mergeCell ref="C729:D729"/>
    <mergeCell ref="C730:D730"/>
    <mergeCell ref="C731:D731"/>
    <mergeCell ref="C732:D732"/>
    <mergeCell ref="C733:D733"/>
    <mergeCell ref="C734:D734"/>
    <mergeCell ref="C735:D735"/>
    <mergeCell ref="C718:D718"/>
    <mergeCell ref="C719:D719"/>
    <mergeCell ref="C720:D720"/>
    <mergeCell ref="C721:D721"/>
    <mergeCell ref="C722:D722"/>
    <mergeCell ref="C723:D723"/>
    <mergeCell ref="C724:D724"/>
    <mergeCell ref="C725:D725"/>
    <mergeCell ref="C726:D726"/>
    <mergeCell ref="C709:D709"/>
    <mergeCell ref="C710:D710"/>
    <mergeCell ref="C711:D711"/>
    <mergeCell ref="C712:D712"/>
    <mergeCell ref="C713:D713"/>
    <mergeCell ref="C714:D714"/>
    <mergeCell ref="C715:D715"/>
    <mergeCell ref="C716:D716"/>
    <mergeCell ref="C717:D717"/>
    <mergeCell ref="C700:D700"/>
    <mergeCell ref="C701:D701"/>
    <mergeCell ref="C702:D702"/>
    <mergeCell ref="C703:D703"/>
    <mergeCell ref="C704:D704"/>
    <mergeCell ref="C705:D705"/>
    <mergeCell ref="C706:D706"/>
    <mergeCell ref="C707:D707"/>
    <mergeCell ref="C708:D708"/>
    <mergeCell ref="C691:D691"/>
    <mergeCell ref="C692:D692"/>
    <mergeCell ref="C693:D693"/>
    <mergeCell ref="C694:D694"/>
    <mergeCell ref="C695:D695"/>
    <mergeCell ref="C696:D696"/>
    <mergeCell ref="C697:D697"/>
    <mergeCell ref="C698:D698"/>
    <mergeCell ref="C699:D699"/>
    <mergeCell ref="C682:D682"/>
    <mergeCell ref="C683:D683"/>
    <mergeCell ref="C684:D684"/>
    <mergeCell ref="C685:D685"/>
    <mergeCell ref="C686:D686"/>
    <mergeCell ref="C687:D687"/>
    <mergeCell ref="C688:D688"/>
    <mergeCell ref="C689:D689"/>
    <mergeCell ref="C690:D690"/>
    <mergeCell ref="C673:D673"/>
    <mergeCell ref="C674:D674"/>
    <mergeCell ref="C675:D675"/>
    <mergeCell ref="C676:D676"/>
    <mergeCell ref="C677:D677"/>
    <mergeCell ref="C678:D678"/>
    <mergeCell ref="C679:D679"/>
    <mergeCell ref="C680:D680"/>
    <mergeCell ref="C681:D681"/>
    <mergeCell ref="C664:D664"/>
    <mergeCell ref="C665:D665"/>
    <mergeCell ref="C666:D666"/>
    <mergeCell ref="C667:D667"/>
    <mergeCell ref="C668:D668"/>
    <mergeCell ref="C669:D669"/>
    <mergeCell ref="C670:D670"/>
    <mergeCell ref="C671:D671"/>
    <mergeCell ref="C672:D672"/>
    <mergeCell ref="C655:D655"/>
    <mergeCell ref="C656:D656"/>
    <mergeCell ref="C657:D657"/>
    <mergeCell ref="C658:D658"/>
    <mergeCell ref="C659:D659"/>
    <mergeCell ref="C660:D660"/>
    <mergeCell ref="C661:D661"/>
    <mergeCell ref="C662:D662"/>
    <mergeCell ref="C663:D663"/>
    <mergeCell ref="C646:D646"/>
    <mergeCell ref="C647:D647"/>
    <mergeCell ref="C648:D648"/>
    <mergeCell ref="C649:D649"/>
    <mergeCell ref="C650:D650"/>
    <mergeCell ref="C651:D651"/>
    <mergeCell ref="C652:D652"/>
    <mergeCell ref="C653:D653"/>
    <mergeCell ref="C654:D654"/>
    <mergeCell ref="C637:D637"/>
    <mergeCell ref="C638:D638"/>
    <mergeCell ref="C639:D639"/>
    <mergeCell ref="C640:D640"/>
    <mergeCell ref="C641:D641"/>
    <mergeCell ref="C642:D642"/>
    <mergeCell ref="C643:D643"/>
    <mergeCell ref="C644:D644"/>
    <mergeCell ref="C645:D645"/>
    <mergeCell ref="C628:D628"/>
    <mergeCell ref="C629:D629"/>
    <mergeCell ref="C630:D630"/>
    <mergeCell ref="C631:D631"/>
    <mergeCell ref="C632:D632"/>
    <mergeCell ref="C633:D633"/>
    <mergeCell ref="C634:D634"/>
    <mergeCell ref="C635:D635"/>
    <mergeCell ref="C636:D636"/>
    <mergeCell ref="C619:D619"/>
    <mergeCell ref="C620:D620"/>
    <mergeCell ref="C621:D621"/>
    <mergeCell ref="C622:D622"/>
    <mergeCell ref="C623:D623"/>
    <mergeCell ref="C624:D624"/>
    <mergeCell ref="C625:D625"/>
    <mergeCell ref="C626:D626"/>
    <mergeCell ref="C627:D627"/>
    <mergeCell ref="C610:D610"/>
    <mergeCell ref="C611:D611"/>
    <mergeCell ref="C612:D612"/>
    <mergeCell ref="C613:D613"/>
    <mergeCell ref="C614:D614"/>
    <mergeCell ref="C615:D615"/>
    <mergeCell ref="C616:D616"/>
    <mergeCell ref="C617:D617"/>
    <mergeCell ref="C618:D618"/>
    <mergeCell ref="C601:D601"/>
    <mergeCell ref="C602:D602"/>
    <mergeCell ref="C603:D603"/>
    <mergeCell ref="C604:D604"/>
    <mergeCell ref="C605:D605"/>
    <mergeCell ref="C606:D606"/>
    <mergeCell ref="C607:D607"/>
    <mergeCell ref="C608:D608"/>
    <mergeCell ref="C609:D609"/>
    <mergeCell ref="C592:D592"/>
    <mergeCell ref="C593:D593"/>
    <mergeCell ref="C594:D594"/>
    <mergeCell ref="C595:D595"/>
    <mergeCell ref="C596:D596"/>
    <mergeCell ref="C597:D597"/>
    <mergeCell ref="C598:D598"/>
    <mergeCell ref="C599:D599"/>
    <mergeCell ref="C600:D600"/>
    <mergeCell ref="C583:D583"/>
    <mergeCell ref="C584:D584"/>
    <mergeCell ref="C585:D585"/>
    <mergeCell ref="C586:D586"/>
    <mergeCell ref="C587:D587"/>
    <mergeCell ref="C588:D588"/>
    <mergeCell ref="C589:D589"/>
    <mergeCell ref="C590:D590"/>
    <mergeCell ref="C591:D591"/>
    <mergeCell ref="C574:D574"/>
    <mergeCell ref="C575:D575"/>
    <mergeCell ref="C576:D576"/>
    <mergeCell ref="C577:D577"/>
    <mergeCell ref="C578:D578"/>
    <mergeCell ref="C579:D579"/>
    <mergeCell ref="C580:D580"/>
    <mergeCell ref="C581:D581"/>
    <mergeCell ref="C582:D582"/>
    <mergeCell ref="C565:D565"/>
    <mergeCell ref="C566:D566"/>
    <mergeCell ref="C567:D567"/>
    <mergeCell ref="C568:D568"/>
    <mergeCell ref="C569:D569"/>
    <mergeCell ref="C570:D570"/>
    <mergeCell ref="C571:D571"/>
    <mergeCell ref="C572:D572"/>
    <mergeCell ref="C573:D573"/>
    <mergeCell ref="C556:D556"/>
    <mergeCell ref="C557:D557"/>
    <mergeCell ref="C558:D558"/>
    <mergeCell ref="C559:D559"/>
    <mergeCell ref="C560:D560"/>
    <mergeCell ref="C561:D561"/>
    <mergeCell ref="C562:D562"/>
    <mergeCell ref="C563:D563"/>
    <mergeCell ref="C564:D564"/>
    <mergeCell ref="C547:D547"/>
    <mergeCell ref="C548:D548"/>
    <mergeCell ref="C549:D549"/>
    <mergeCell ref="C550:D550"/>
    <mergeCell ref="C551:D551"/>
    <mergeCell ref="C552:D552"/>
    <mergeCell ref="C553:D553"/>
    <mergeCell ref="C554:D554"/>
    <mergeCell ref="C555:D555"/>
    <mergeCell ref="C538:D538"/>
    <mergeCell ref="C539:D539"/>
    <mergeCell ref="C540:D540"/>
    <mergeCell ref="C541:D541"/>
    <mergeCell ref="C542:D542"/>
    <mergeCell ref="C543:D543"/>
    <mergeCell ref="C544:D544"/>
    <mergeCell ref="C545:D545"/>
    <mergeCell ref="C546:D546"/>
    <mergeCell ref="C529:D529"/>
    <mergeCell ref="C530:D530"/>
    <mergeCell ref="C531:D531"/>
    <mergeCell ref="C532:D532"/>
    <mergeCell ref="C533:D533"/>
    <mergeCell ref="C534:D534"/>
    <mergeCell ref="C535:D535"/>
    <mergeCell ref="C536:D536"/>
    <mergeCell ref="C537:D537"/>
    <mergeCell ref="C520:D520"/>
    <mergeCell ref="C521:D521"/>
    <mergeCell ref="C522:D522"/>
    <mergeCell ref="C523:D523"/>
    <mergeCell ref="C524:D524"/>
    <mergeCell ref="C525:D525"/>
    <mergeCell ref="C526:D526"/>
    <mergeCell ref="C527:D527"/>
    <mergeCell ref="C528:D528"/>
    <mergeCell ref="C511:D511"/>
    <mergeCell ref="C512:D512"/>
    <mergeCell ref="C513:D513"/>
    <mergeCell ref="C514:D514"/>
    <mergeCell ref="C515:D515"/>
    <mergeCell ref="C516:D516"/>
    <mergeCell ref="C517:D517"/>
    <mergeCell ref="C518:D518"/>
    <mergeCell ref="C519:D519"/>
    <mergeCell ref="C502:D502"/>
    <mergeCell ref="C503:D503"/>
    <mergeCell ref="C504:D504"/>
    <mergeCell ref="C505:D505"/>
    <mergeCell ref="C506:D506"/>
    <mergeCell ref="C507:D507"/>
    <mergeCell ref="C508:D508"/>
    <mergeCell ref="C509:D509"/>
    <mergeCell ref="C510:D510"/>
    <mergeCell ref="C493:D493"/>
    <mergeCell ref="C494:D494"/>
    <mergeCell ref="C495:D495"/>
    <mergeCell ref="C496:D496"/>
    <mergeCell ref="C497:D497"/>
    <mergeCell ref="C498:D498"/>
    <mergeCell ref="C499:D499"/>
    <mergeCell ref="C500:D500"/>
    <mergeCell ref="C501:D501"/>
    <mergeCell ref="C484:D484"/>
    <mergeCell ref="C485:D485"/>
    <mergeCell ref="C486:D486"/>
    <mergeCell ref="C487:D487"/>
    <mergeCell ref="C488:D488"/>
    <mergeCell ref="C489:D489"/>
    <mergeCell ref="C490:D490"/>
    <mergeCell ref="C491:D491"/>
    <mergeCell ref="C492:D492"/>
    <mergeCell ref="C475:D475"/>
    <mergeCell ref="C476:D476"/>
    <mergeCell ref="C477:D477"/>
    <mergeCell ref="C478:D478"/>
    <mergeCell ref="C479:D479"/>
    <mergeCell ref="C480:D480"/>
    <mergeCell ref="C481:D481"/>
    <mergeCell ref="C482:D482"/>
    <mergeCell ref="C483:D483"/>
    <mergeCell ref="C466:D466"/>
    <mergeCell ref="C467:D467"/>
    <mergeCell ref="C468:D468"/>
    <mergeCell ref="C469:D469"/>
    <mergeCell ref="C470:D470"/>
    <mergeCell ref="C471:D471"/>
    <mergeCell ref="C472:D472"/>
    <mergeCell ref="C473:D473"/>
    <mergeCell ref="C474:D474"/>
    <mergeCell ref="C457:D457"/>
    <mergeCell ref="C458:D458"/>
    <mergeCell ref="C459:D459"/>
    <mergeCell ref="C460:D460"/>
    <mergeCell ref="C461:D461"/>
    <mergeCell ref="C462:D462"/>
    <mergeCell ref="C463:D463"/>
    <mergeCell ref="C464:D464"/>
    <mergeCell ref="C465:D465"/>
    <mergeCell ref="C448:D448"/>
    <mergeCell ref="C449:D449"/>
    <mergeCell ref="C450:D450"/>
    <mergeCell ref="C451:D451"/>
    <mergeCell ref="C452:D452"/>
    <mergeCell ref="C453:D453"/>
    <mergeCell ref="C454:D454"/>
    <mergeCell ref="C455:D455"/>
    <mergeCell ref="C456:D456"/>
    <mergeCell ref="C439:D439"/>
    <mergeCell ref="C440:D440"/>
    <mergeCell ref="C441:D441"/>
    <mergeCell ref="C442:D442"/>
    <mergeCell ref="C443:D443"/>
    <mergeCell ref="C444:D444"/>
    <mergeCell ref="C445:D445"/>
    <mergeCell ref="C446:D446"/>
    <mergeCell ref="C447:D447"/>
    <mergeCell ref="C430:D430"/>
    <mergeCell ref="C431:D431"/>
    <mergeCell ref="C432:D432"/>
    <mergeCell ref="C433:D433"/>
    <mergeCell ref="C434:D434"/>
    <mergeCell ref="C435:D435"/>
    <mergeCell ref="C436:D436"/>
    <mergeCell ref="C437:D437"/>
    <mergeCell ref="C438:D438"/>
    <mergeCell ref="C421:D421"/>
    <mergeCell ref="C422:D422"/>
    <mergeCell ref="C423:D423"/>
    <mergeCell ref="C424:D424"/>
    <mergeCell ref="C425:D425"/>
    <mergeCell ref="C426:D426"/>
    <mergeCell ref="C427:D427"/>
    <mergeCell ref="C428:D428"/>
    <mergeCell ref="C429:D429"/>
    <mergeCell ref="C412:D412"/>
    <mergeCell ref="C413:D413"/>
    <mergeCell ref="C414:D414"/>
    <mergeCell ref="C415:D415"/>
    <mergeCell ref="C416:D416"/>
    <mergeCell ref="C417:D417"/>
    <mergeCell ref="C418:D418"/>
    <mergeCell ref="C419:D419"/>
    <mergeCell ref="C420:D420"/>
    <mergeCell ref="C403:D403"/>
    <mergeCell ref="C404:D404"/>
    <mergeCell ref="C405:D405"/>
    <mergeCell ref="C406:D406"/>
    <mergeCell ref="C407:D407"/>
    <mergeCell ref="C408:D408"/>
    <mergeCell ref="C409:D409"/>
    <mergeCell ref="C410:D410"/>
    <mergeCell ref="C411:D411"/>
    <mergeCell ref="C394:D394"/>
    <mergeCell ref="C395:D395"/>
    <mergeCell ref="C396:D396"/>
    <mergeCell ref="C397:D397"/>
    <mergeCell ref="C398:D398"/>
    <mergeCell ref="C399:D399"/>
    <mergeCell ref="C400:D400"/>
    <mergeCell ref="C401:D401"/>
    <mergeCell ref="C402:D402"/>
    <mergeCell ref="C385:D385"/>
    <mergeCell ref="C386:D386"/>
    <mergeCell ref="C387:D387"/>
    <mergeCell ref="C388:D388"/>
    <mergeCell ref="C389:D389"/>
    <mergeCell ref="C390:D390"/>
    <mergeCell ref="C391:D391"/>
    <mergeCell ref="C392:D392"/>
    <mergeCell ref="C393:D393"/>
    <mergeCell ref="C376:D376"/>
    <mergeCell ref="C377:D377"/>
    <mergeCell ref="C378:D378"/>
    <mergeCell ref="C379:D379"/>
    <mergeCell ref="C380:D380"/>
    <mergeCell ref="C381:D381"/>
    <mergeCell ref="C382:D382"/>
    <mergeCell ref="C383:D383"/>
    <mergeCell ref="C384:D384"/>
    <mergeCell ref="C367:D367"/>
    <mergeCell ref="C368:D368"/>
    <mergeCell ref="C369:D369"/>
    <mergeCell ref="C370:D370"/>
    <mergeCell ref="C371:D371"/>
    <mergeCell ref="C372:D372"/>
    <mergeCell ref="C373:D373"/>
    <mergeCell ref="C374:D374"/>
    <mergeCell ref="C375:D375"/>
    <mergeCell ref="C358:D358"/>
    <mergeCell ref="C359:D359"/>
    <mergeCell ref="C360:D360"/>
    <mergeCell ref="C361:D361"/>
    <mergeCell ref="C362:D362"/>
    <mergeCell ref="C363:D363"/>
    <mergeCell ref="C364:D364"/>
    <mergeCell ref="C365:D365"/>
    <mergeCell ref="C366:D366"/>
    <mergeCell ref="C349:D349"/>
    <mergeCell ref="C350:D350"/>
    <mergeCell ref="C351:D351"/>
    <mergeCell ref="C352:D352"/>
    <mergeCell ref="C353:D353"/>
    <mergeCell ref="C354:D354"/>
    <mergeCell ref="C355:D355"/>
    <mergeCell ref="C356:D356"/>
    <mergeCell ref="C357:D357"/>
    <mergeCell ref="C340:D340"/>
    <mergeCell ref="C341:D341"/>
    <mergeCell ref="C342:D342"/>
    <mergeCell ref="C343:D343"/>
    <mergeCell ref="C344:D344"/>
    <mergeCell ref="C345:D345"/>
    <mergeCell ref="C346:D346"/>
    <mergeCell ref="C347:D347"/>
    <mergeCell ref="C348:D348"/>
    <mergeCell ref="C331:D331"/>
    <mergeCell ref="C332:D332"/>
    <mergeCell ref="C333:D333"/>
    <mergeCell ref="C334:D334"/>
    <mergeCell ref="C335:D335"/>
    <mergeCell ref="C336:D336"/>
    <mergeCell ref="C337:D337"/>
    <mergeCell ref="C338:D338"/>
    <mergeCell ref="C339:D339"/>
    <mergeCell ref="C322:D322"/>
    <mergeCell ref="C323:D323"/>
    <mergeCell ref="C324:D324"/>
    <mergeCell ref="C325:D325"/>
    <mergeCell ref="C326:D326"/>
    <mergeCell ref="C327:D327"/>
    <mergeCell ref="C328:D328"/>
    <mergeCell ref="C329:D329"/>
    <mergeCell ref="C330:D330"/>
    <mergeCell ref="C313:D313"/>
    <mergeCell ref="C314:D314"/>
    <mergeCell ref="C315:D315"/>
    <mergeCell ref="C316:D316"/>
    <mergeCell ref="C317:D317"/>
    <mergeCell ref="C318:D318"/>
    <mergeCell ref="C319:D319"/>
    <mergeCell ref="C320:D320"/>
    <mergeCell ref="C321:D321"/>
    <mergeCell ref="C304:D304"/>
    <mergeCell ref="C305:D305"/>
    <mergeCell ref="C306:D306"/>
    <mergeCell ref="C307:D307"/>
    <mergeCell ref="C308:D308"/>
    <mergeCell ref="C309:D309"/>
    <mergeCell ref="C310:D310"/>
    <mergeCell ref="C311:D311"/>
    <mergeCell ref="C312:D312"/>
    <mergeCell ref="C295:D295"/>
    <mergeCell ref="C296:D296"/>
    <mergeCell ref="C297:D297"/>
    <mergeCell ref="C298:D298"/>
    <mergeCell ref="C299:D299"/>
    <mergeCell ref="C300:D300"/>
    <mergeCell ref="C301:D301"/>
    <mergeCell ref="C302:D302"/>
    <mergeCell ref="C303:D303"/>
    <mergeCell ref="C286:D286"/>
    <mergeCell ref="C287:D287"/>
    <mergeCell ref="C288:D288"/>
    <mergeCell ref="C289:D289"/>
    <mergeCell ref="C290:D290"/>
    <mergeCell ref="C291:D291"/>
    <mergeCell ref="C292:D292"/>
    <mergeCell ref="C293:D293"/>
    <mergeCell ref="C294:D294"/>
    <mergeCell ref="C277:D277"/>
    <mergeCell ref="C278:D278"/>
    <mergeCell ref="C279:D279"/>
    <mergeCell ref="C280:D280"/>
    <mergeCell ref="C281:D281"/>
    <mergeCell ref="C282:D282"/>
    <mergeCell ref="C283:D283"/>
    <mergeCell ref="C284:D284"/>
    <mergeCell ref="C285:D285"/>
    <mergeCell ref="C268:D268"/>
    <mergeCell ref="C269:D269"/>
    <mergeCell ref="C270:D270"/>
    <mergeCell ref="C271:D271"/>
    <mergeCell ref="C272:D272"/>
    <mergeCell ref="C273:D273"/>
    <mergeCell ref="C274:D274"/>
    <mergeCell ref="C275:D275"/>
    <mergeCell ref="C276:D276"/>
    <mergeCell ref="C259:D259"/>
    <mergeCell ref="C260:D260"/>
    <mergeCell ref="C261:D261"/>
    <mergeCell ref="C262:D262"/>
    <mergeCell ref="C263:D263"/>
    <mergeCell ref="C264:D264"/>
    <mergeCell ref="C265:D265"/>
    <mergeCell ref="C266:D266"/>
    <mergeCell ref="C267:D267"/>
    <mergeCell ref="C250:D250"/>
    <mergeCell ref="C251:D251"/>
    <mergeCell ref="C252:D252"/>
    <mergeCell ref="C253:D253"/>
    <mergeCell ref="C254:D254"/>
    <mergeCell ref="C255:D255"/>
    <mergeCell ref="C256:D256"/>
    <mergeCell ref="C257:D257"/>
    <mergeCell ref="C258:D258"/>
    <mergeCell ref="C241:D241"/>
    <mergeCell ref="C242:D242"/>
    <mergeCell ref="C243:D243"/>
    <mergeCell ref="C244:D244"/>
    <mergeCell ref="C245:D245"/>
    <mergeCell ref="C246:D246"/>
    <mergeCell ref="C247:D247"/>
    <mergeCell ref="C248:D248"/>
    <mergeCell ref="C249:D249"/>
    <mergeCell ref="C232:D232"/>
    <mergeCell ref="C233:D233"/>
    <mergeCell ref="C234:D234"/>
    <mergeCell ref="C235:D235"/>
    <mergeCell ref="C236:D236"/>
    <mergeCell ref="C237:D237"/>
    <mergeCell ref="C238:D238"/>
    <mergeCell ref="C239:D239"/>
    <mergeCell ref="C240:D240"/>
    <mergeCell ref="F996:G996"/>
    <mergeCell ref="F997:G997"/>
    <mergeCell ref="F998:G998"/>
    <mergeCell ref="F999:G999"/>
    <mergeCell ref="F1000:G1000"/>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F987:G987"/>
    <mergeCell ref="F988:G988"/>
    <mergeCell ref="F989:G989"/>
    <mergeCell ref="F990:G990"/>
    <mergeCell ref="F991:G991"/>
    <mergeCell ref="F992:G992"/>
    <mergeCell ref="F993:G993"/>
    <mergeCell ref="F994:G994"/>
    <mergeCell ref="F995:G995"/>
    <mergeCell ref="F978:G978"/>
    <mergeCell ref="F979:G979"/>
    <mergeCell ref="F980:G980"/>
    <mergeCell ref="F981:G981"/>
    <mergeCell ref="F982:G982"/>
    <mergeCell ref="F983:G983"/>
    <mergeCell ref="F984:G984"/>
    <mergeCell ref="F985:G985"/>
    <mergeCell ref="F986:G986"/>
    <mergeCell ref="F969:G969"/>
    <mergeCell ref="F970:G970"/>
    <mergeCell ref="F971:G971"/>
    <mergeCell ref="F972:G972"/>
    <mergeCell ref="F973:G973"/>
    <mergeCell ref="F974:G974"/>
    <mergeCell ref="F975:G975"/>
    <mergeCell ref="F976:G976"/>
    <mergeCell ref="F977:G977"/>
    <mergeCell ref="F960:G960"/>
    <mergeCell ref="F961:G961"/>
    <mergeCell ref="F962:G962"/>
    <mergeCell ref="F963:G963"/>
    <mergeCell ref="F964:G964"/>
    <mergeCell ref="F965:G965"/>
    <mergeCell ref="F966:G966"/>
    <mergeCell ref="F967:G967"/>
    <mergeCell ref="F968:G968"/>
    <mergeCell ref="F951:G951"/>
    <mergeCell ref="F952:G952"/>
    <mergeCell ref="F953:G953"/>
    <mergeCell ref="F954:G954"/>
    <mergeCell ref="F955:G955"/>
    <mergeCell ref="F956:G956"/>
    <mergeCell ref="F957:G957"/>
    <mergeCell ref="F958:G958"/>
    <mergeCell ref="F959:G959"/>
    <mergeCell ref="F942:G942"/>
    <mergeCell ref="F943:G943"/>
    <mergeCell ref="F944:G944"/>
    <mergeCell ref="F945:G945"/>
    <mergeCell ref="F946:G946"/>
    <mergeCell ref="F947:G947"/>
    <mergeCell ref="F948:G948"/>
    <mergeCell ref="F949:G949"/>
    <mergeCell ref="F950:G950"/>
    <mergeCell ref="F933:G933"/>
    <mergeCell ref="F934:G934"/>
    <mergeCell ref="F935:G935"/>
    <mergeCell ref="F936:G936"/>
    <mergeCell ref="F937:G937"/>
    <mergeCell ref="F938:G938"/>
    <mergeCell ref="F939:G939"/>
    <mergeCell ref="F940:G940"/>
    <mergeCell ref="F941:G941"/>
    <mergeCell ref="F924:G924"/>
    <mergeCell ref="F925:G925"/>
    <mergeCell ref="F926:G926"/>
    <mergeCell ref="F927:G927"/>
    <mergeCell ref="F928:G928"/>
    <mergeCell ref="F929:G929"/>
    <mergeCell ref="F930:G930"/>
    <mergeCell ref="F931:G931"/>
    <mergeCell ref="F932:G932"/>
    <mergeCell ref="F915:G915"/>
    <mergeCell ref="F916:G916"/>
    <mergeCell ref="F917:G917"/>
    <mergeCell ref="F918:G918"/>
    <mergeCell ref="F919:G919"/>
    <mergeCell ref="F920:G920"/>
    <mergeCell ref="F921:G921"/>
    <mergeCell ref="F922:G922"/>
    <mergeCell ref="F923:G923"/>
    <mergeCell ref="F906:G906"/>
    <mergeCell ref="F907:G907"/>
    <mergeCell ref="F908:G908"/>
    <mergeCell ref="F909:G909"/>
    <mergeCell ref="F910:G910"/>
    <mergeCell ref="F911:G911"/>
    <mergeCell ref="F912:G912"/>
    <mergeCell ref="F913:G913"/>
    <mergeCell ref="F914:G914"/>
    <mergeCell ref="F897:G897"/>
    <mergeCell ref="F898:G898"/>
    <mergeCell ref="F899:G899"/>
    <mergeCell ref="F900:G900"/>
    <mergeCell ref="F901:G901"/>
    <mergeCell ref="F902:G902"/>
    <mergeCell ref="F903:G903"/>
    <mergeCell ref="F904:G904"/>
    <mergeCell ref="F905:G905"/>
    <mergeCell ref="F888:G888"/>
    <mergeCell ref="F889:G889"/>
    <mergeCell ref="F890:G890"/>
    <mergeCell ref="F891:G891"/>
    <mergeCell ref="F892:G892"/>
    <mergeCell ref="F893:G893"/>
    <mergeCell ref="F894:G894"/>
    <mergeCell ref="F895:G895"/>
    <mergeCell ref="F896:G896"/>
    <mergeCell ref="F879:G879"/>
    <mergeCell ref="F880:G880"/>
    <mergeCell ref="F881:G881"/>
    <mergeCell ref="F882:G882"/>
    <mergeCell ref="F883:G883"/>
    <mergeCell ref="F884:G884"/>
    <mergeCell ref="F885:G885"/>
    <mergeCell ref="F886:G886"/>
    <mergeCell ref="F887:G887"/>
    <mergeCell ref="F870:G870"/>
    <mergeCell ref="F871:G871"/>
    <mergeCell ref="F872:G872"/>
    <mergeCell ref="F873:G873"/>
    <mergeCell ref="F874:G874"/>
    <mergeCell ref="F875:G875"/>
    <mergeCell ref="F876:G876"/>
    <mergeCell ref="F877:G877"/>
    <mergeCell ref="F878:G878"/>
    <mergeCell ref="F861:G861"/>
    <mergeCell ref="F862:G862"/>
    <mergeCell ref="F863:G863"/>
    <mergeCell ref="F864:G864"/>
    <mergeCell ref="F865:G865"/>
    <mergeCell ref="F866:G866"/>
    <mergeCell ref="F867:G867"/>
    <mergeCell ref="F868:G868"/>
    <mergeCell ref="F869:G869"/>
    <mergeCell ref="F852:G852"/>
    <mergeCell ref="F853:G853"/>
    <mergeCell ref="F854:G854"/>
    <mergeCell ref="F855:G855"/>
    <mergeCell ref="F856:G856"/>
    <mergeCell ref="F857:G857"/>
    <mergeCell ref="F858:G858"/>
    <mergeCell ref="F859:G859"/>
    <mergeCell ref="F860:G860"/>
    <mergeCell ref="F843:G843"/>
    <mergeCell ref="F844:G844"/>
    <mergeCell ref="F845:G845"/>
    <mergeCell ref="F846:G846"/>
    <mergeCell ref="F847:G847"/>
    <mergeCell ref="F848:G848"/>
    <mergeCell ref="F849:G849"/>
    <mergeCell ref="F850:G850"/>
    <mergeCell ref="F851:G851"/>
    <mergeCell ref="F834:G834"/>
    <mergeCell ref="F835:G835"/>
    <mergeCell ref="F836:G836"/>
    <mergeCell ref="F837:G837"/>
    <mergeCell ref="F838:G838"/>
    <mergeCell ref="F839:G839"/>
    <mergeCell ref="F840:G840"/>
    <mergeCell ref="F841:G841"/>
    <mergeCell ref="F842:G842"/>
    <mergeCell ref="F825:G825"/>
    <mergeCell ref="F826:G826"/>
    <mergeCell ref="F827:G827"/>
    <mergeCell ref="F828:G828"/>
    <mergeCell ref="F829:G829"/>
    <mergeCell ref="F830:G830"/>
    <mergeCell ref="F831:G831"/>
    <mergeCell ref="F832:G832"/>
    <mergeCell ref="F833:G833"/>
    <mergeCell ref="F816:G816"/>
    <mergeCell ref="F817:G817"/>
    <mergeCell ref="F818:G818"/>
    <mergeCell ref="F819:G819"/>
    <mergeCell ref="F820:G820"/>
    <mergeCell ref="F821:G821"/>
    <mergeCell ref="F822:G822"/>
    <mergeCell ref="F823:G823"/>
    <mergeCell ref="F824:G824"/>
    <mergeCell ref="F807:G807"/>
    <mergeCell ref="F808:G808"/>
    <mergeCell ref="F809:G809"/>
    <mergeCell ref="F810:G810"/>
    <mergeCell ref="F811:G811"/>
    <mergeCell ref="F812:G812"/>
    <mergeCell ref="F813:G813"/>
    <mergeCell ref="F814:G814"/>
    <mergeCell ref="F815:G815"/>
    <mergeCell ref="F798:G798"/>
    <mergeCell ref="F799:G799"/>
    <mergeCell ref="F800:G800"/>
    <mergeCell ref="F801:G801"/>
    <mergeCell ref="F802:G802"/>
    <mergeCell ref="F803:G803"/>
    <mergeCell ref="F804:G804"/>
    <mergeCell ref="F805:G805"/>
    <mergeCell ref="F806:G806"/>
    <mergeCell ref="F789:G789"/>
    <mergeCell ref="F790:G790"/>
    <mergeCell ref="F791:G791"/>
    <mergeCell ref="F792:G792"/>
    <mergeCell ref="F793:G793"/>
    <mergeCell ref="F794:G794"/>
    <mergeCell ref="F795:G795"/>
    <mergeCell ref="F796:G796"/>
    <mergeCell ref="F797:G797"/>
    <mergeCell ref="F780:G780"/>
    <mergeCell ref="F781:G781"/>
    <mergeCell ref="F782:G782"/>
    <mergeCell ref="F783:G783"/>
    <mergeCell ref="F784:G784"/>
    <mergeCell ref="F785:G785"/>
    <mergeCell ref="F786:G786"/>
    <mergeCell ref="F787:G787"/>
    <mergeCell ref="F788:G788"/>
    <mergeCell ref="F771:G771"/>
    <mergeCell ref="F772:G772"/>
    <mergeCell ref="F773:G773"/>
    <mergeCell ref="F774:G774"/>
    <mergeCell ref="F775:G775"/>
    <mergeCell ref="F776:G776"/>
    <mergeCell ref="F777:G777"/>
    <mergeCell ref="F778:G778"/>
    <mergeCell ref="F779:G779"/>
    <mergeCell ref="F762:G762"/>
    <mergeCell ref="F763:G763"/>
    <mergeCell ref="F764:G764"/>
    <mergeCell ref="F765:G765"/>
    <mergeCell ref="F766:G766"/>
    <mergeCell ref="F767:G767"/>
    <mergeCell ref="F768:G768"/>
    <mergeCell ref="F769:G769"/>
    <mergeCell ref="F770:G770"/>
    <mergeCell ref="F753:G753"/>
    <mergeCell ref="F754:G754"/>
    <mergeCell ref="F755:G755"/>
    <mergeCell ref="F756:G756"/>
    <mergeCell ref="F757:G757"/>
    <mergeCell ref="F758:G758"/>
    <mergeCell ref="F759:G759"/>
    <mergeCell ref="F760:G760"/>
    <mergeCell ref="F761:G761"/>
    <mergeCell ref="F744:G744"/>
    <mergeCell ref="F745:G745"/>
    <mergeCell ref="F746:G746"/>
    <mergeCell ref="F747:G747"/>
    <mergeCell ref="F748:G748"/>
    <mergeCell ref="F749:G749"/>
    <mergeCell ref="F750:G750"/>
    <mergeCell ref="F751:G751"/>
    <mergeCell ref="F752:G752"/>
    <mergeCell ref="F735:G735"/>
    <mergeCell ref="F736:G736"/>
    <mergeCell ref="F737:G737"/>
    <mergeCell ref="F738:G738"/>
    <mergeCell ref="F739:G739"/>
    <mergeCell ref="F740:G740"/>
    <mergeCell ref="F741:G741"/>
    <mergeCell ref="F742:G742"/>
    <mergeCell ref="F743:G743"/>
    <mergeCell ref="F726:G726"/>
    <mergeCell ref="F727:G727"/>
    <mergeCell ref="F728:G728"/>
    <mergeCell ref="F729:G729"/>
    <mergeCell ref="F730:G730"/>
    <mergeCell ref="F731:G731"/>
    <mergeCell ref="F732:G732"/>
    <mergeCell ref="F733:G733"/>
    <mergeCell ref="F734:G734"/>
    <mergeCell ref="F717:G717"/>
    <mergeCell ref="F718:G718"/>
    <mergeCell ref="F719:G719"/>
    <mergeCell ref="F720:G720"/>
    <mergeCell ref="F721:G721"/>
    <mergeCell ref="F722:G722"/>
    <mergeCell ref="F723:G723"/>
    <mergeCell ref="F724:G724"/>
    <mergeCell ref="F725:G725"/>
    <mergeCell ref="F708:G708"/>
    <mergeCell ref="F709:G709"/>
    <mergeCell ref="F710:G710"/>
    <mergeCell ref="F711:G711"/>
    <mergeCell ref="F712:G712"/>
    <mergeCell ref="F713:G713"/>
    <mergeCell ref="F714:G714"/>
    <mergeCell ref="F715:G715"/>
    <mergeCell ref="F716:G716"/>
    <mergeCell ref="F699:G699"/>
    <mergeCell ref="F700:G700"/>
    <mergeCell ref="F701:G701"/>
    <mergeCell ref="F702:G702"/>
    <mergeCell ref="F703:G703"/>
    <mergeCell ref="F704:G704"/>
    <mergeCell ref="F705:G705"/>
    <mergeCell ref="F706:G706"/>
    <mergeCell ref="F707:G707"/>
    <mergeCell ref="F690:G690"/>
    <mergeCell ref="F691:G691"/>
    <mergeCell ref="F692:G692"/>
    <mergeCell ref="F693:G693"/>
    <mergeCell ref="F694:G694"/>
    <mergeCell ref="F695:G695"/>
    <mergeCell ref="F696:G696"/>
    <mergeCell ref="F697:G697"/>
    <mergeCell ref="F698:G698"/>
    <mergeCell ref="F681:G681"/>
    <mergeCell ref="F682:G682"/>
    <mergeCell ref="F683:G683"/>
    <mergeCell ref="F684:G684"/>
    <mergeCell ref="F685:G685"/>
    <mergeCell ref="F686:G686"/>
    <mergeCell ref="F687:G687"/>
    <mergeCell ref="F688:G688"/>
    <mergeCell ref="F689:G689"/>
    <mergeCell ref="F672:G672"/>
    <mergeCell ref="F673:G673"/>
    <mergeCell ref="F674:G674"/>
    <mergeCell ref="F675:G675"/>
    <mergeCell ref="F676:G676"/>
    <mergeCell ref="F677:G677"/>
    <mergeCell ref="F678:G678"/>
    <mergeCell ref="F679:G679"/>
    <mergeCell ref="F680:G680"/>
    <mergeCell ref="F663:G663"/>
    <mergeCell ref="F664:G664"/>
    <mergeCell ref="F665:G665"/>
    <mergeCell ref="F666:G666"/>
    <mergeCell ref="F667:G667"/>
    <mergeCell ref="F668:G668"/>
    <mergeCell ref="F669:G669"/>
    <mergeCell ref="F670:G670"/>
    <mergeCell ref="F671:G671"/>
    <mergeCell ref="F654:G654"/>
    <mergeCell ref="F655:G655"/>
    <mergeCell ref="F656:G656"/>
    <mergeCell ref="F657:G657"/>
    <mergeCell ref="F658:G658"/>
    <mergeCell ref="F659:G659"/>
    <mergeCell ref="F660:G660"/>
    <mergeCell ref="F661:G661"/>
    <mergeCell ref="F662:G662"/>
    <mergeCell ref="F645:G645"/>
    <mergeCell ref="F646:G646"/>
    <mergeCell ref="F647:G647"/>
    <mergeCell ref="F648:G648"/>
    <mergeCell ref="F649:G649"/>
    <mergeCell ref="F650:G650"/>
    <mergeCell ref="F651:G651"/>
    <mergeCell ref="F652:G652"/>
    <mergeCell ref="F653:G653"/>
    <mergeCell ref="F636:G636"/>
    <mergeCell ref="F637:G637"/>
    <mergeCell ref="F638:G638"/>
    <mergeCell ref="F639:G639"/>
    <mergeCell ref="F640:G640"/>
    <mergeCell ref="F641:G641"/>
    <mergeCell ref="F642:G642"/>
    <mergeCell ref="F643:G643"/>
    <mergeCell ref="F644:G644"/>
    <mergeCell ref="F627:G627"/>
    <mergeCell ref="F628:G628"/>
    <mergeCell ref="F629:G629"/>
    <mergeCell ref="F630:G630"/>
    <mergeCell ref="F631:G631"/>
    <mergeCell ref="F632:G632"/>
    <mergeCell ref="F633:G633"/>
    <mergeCell ref="F634:G634"/>
    <mergeCell ref="F635:G635"/>
    <mergeCell ref="F618:G618"/>
    <mergeCell ref="F619:G619"/>
    <mergeCell ref="F620:G620"/>
    <mergeCell ref="F621:G621"/>
    <mergeCell ref="F622:G622"/>
    <mergeCell ref="F623:G623"/>
    <mergeCell ref="F624:G624"/>
    <mergeCell ref="F625:G625"/>
    <mergeCell ref="F626:G626"/>
    <mergeCell ref="F609:G609"/>
    <mergeCell ref="F610:G610"/>
    <mergeCell ref="F611:G611"/>
    <mergeCell ref="F612:G612"/>
    <mergeCell ref="F613:G613"/>
    <mergeCell ref="F614:G614"/>
    <mergeCell ref="F615:G615"/>
    <mergeCell ref="F616:G616"/>
    <mergeCell ref="F617:G617"/>
    <mergeCell ref="F600:G600"/>
    <mergeCell ref="F601:G601"/>
    <mergeCell ref="F602:G602"/>
    <mergeCell ref="F603:G603"/>
    <mergeCell ref="F604:G604"/>
    <mergeCell ref="F605:G605"/>
    <mergeCell ref="F606:G606"/>
    <mergeCell ref="F607:G607"/>
    <mergeCell ref="F608:G608"/>
    <mergeCell ref="F591:G591"/>
    <mergeCell ref="F592:G592"/>
    <mergeCell ref="F593:G593"/>
    <mergeCell ref="F594:G594"/>
    <mergeCell ref="F595:G595"/>
    <mergeCell ref="F596:G596"/>
    <mergeCell ref="F597:G597"/>
    <mergeCell ref="F598:G598"/>
    <mergeCell ref="F599:G599"/>
    <mergeCell ref="F582:G582"/>
    <mergeCell ref="F583:G583"/>
    <mergeCell ref="F584:G584"/>
    <mergeCell ref="F585:G585"/>
    <mergeCell ref="F586:G586"/>
    <mergeCell ref="F587:G587"/>
    <mergeCell ref="F588:G588"/>
    <mergeCell ref="F589:G589"/>
    <mergeCell ref="F590:G590"/>
    <mergeCell ref="F573:G573"/>
    <mergeCell ref="F574:G574"/>
    <mergeCell ref="F575:G575"/>
    <mergeCell ref="F576:G576"/>
    <mergeCell ref="F577:G577"/>
    <mergeCell ref="F578:G578"/>
    <mergeCell ref="F579:G579"/>
    <mergeCell ref="F580:G580"/>
    <mergeCell ref="F581:G581"/>
    <mergeCell ref="F564:G564"/>
    <mergeCell ref="F565:G565"/>
    <mergeCell ref="F566:G566"/>
    <mergeCell ref="F567:G567"/>
    <mergeCell ref="F568:G568"/>
    <mergeCell ref="F569:G569"/>
    <mergeCell ref="F570:G570"/>
    <mergeCell ref="F571:G571"/>
    <mergeCell ref="F572:G572"/>
    <mergeCell ref="F555:G555"/>
    <mergeCell ref="F556:G556"/>
    <mergeCell ref="F557:G557"/>
    <mergeCell ref="F558:G558"/>
    <mergeCell ref="F559:G559"/>
    <mergeCell ref="F560:G560"/>
    <mergeCell ref="F561:G561"/>
    <mergeCell ref="F562:G562"/>
    <mergeCell ref="F563:G563"/>
    <mergeCell ref="F546:G546"/>
    <mergeCell ref="F547:G547"/>
    <mergeCell ref="F548:G548"/>
    <mergeCell ref="F549:G549"/>
    <mergeCell ref="F550:G550"/>
    <mergeCell ref="F551:G551"/>
    <mergeCell ref="F552:G552"/>
    <mergeCell ref="F553:G553"/>
    <mergeCell ref="F554:G554"/>
    <mergeCell ref="F537:G537"/>
    <mergeCell ref="F538:G538"/>
    <mergeCell ref="F539:G539"/>
    <mergeCell ref="F540:G540"/>
    <mergeCell ref="F541:G541"/>
    <mergeCell ref="F542:G542"/>
    <mergeCell ref="F543:G543"/>
    <mergeCell ref="F544:G544"/>
    <mergeCell ref="F545:G545"/>
    <mergeCell ref="F528:G528"/>
    <mergeCell ref="F529:G529"/>
    <mergeCell ref="F530:G530"/>
    <mergeCell ref="F531:G531"/>
    <mergeCell ref="F532:G532"/>
    <mergeCell ref="F533:G533"/>
    <mergeCell ref="F534:G534"/>
    <mergeCell ref="F535:G535"/>
    <mergeCell ref="F536:G536"/>
    <mergeCell ref="F519:G519"/>
    <mergeCell ref="F520:G520"/>
    <mergeCell ref="F521:G521"/>
    <mergeCell ref="F522:G522"/>
    <mergeCell ref="F523:G523"/>
    <mergeCell ref="F524:G524"/>
    <mergeCell ref="F525:G525"/>
    <mergeCell ref="F526:G526"/>
    <mergeCell ref="F527:G527"/>
    <mergeCell ref="F510:G510"/>
    <mergeCell ref="F511:G511"/>
    <mergeCell ref="F512:G512"/>
    <mergeCell ref="F513:G513"/>
    <mergeCell ref="F514:G514"/>
    <mergeCell ref="F515:G515"/>
    <mergeCell ref="F516:G516"/>
    <mergeCell ref="F517:G517"/>
    <mergeCell ref="F518:G518"/>
    <mergeCell ref="F501:G501"/>
    <mergeCell ref="F502:G502"/>
    <mergeCell ref="F503:G503"/>
    <mergeCell ref="F504:G504"/>
    <mergeCell ref="F505:G505"/>
    <mergeCell ref="F506:G506"/>
    <mergeCell ref="F507:G507"/>
    <mergeCell ref="F508:G508"/>
    <mergeCell ref="F509:G509"/>
    <mergeCell ref="F492:G492"/>
    <mergeCell ref="F493:G493"/>
    <mergeCell ref="F494:G494"/>
    <mergeCell ref="F495:G495"/>
    <mergeCell ref="F496:G496"/>
    <mergeCell ref="F497:G497"/>
    <mergeCell ref="F498:G498"/>
    <mergeCell ref="F499:G499"/>
    <mergeCell ref="F500:G500"/>
    <mergeCell ref="F483:G483"/>
    <mergeCell ref="F484:G484"/>
    <mergeCell ref="F485:G485"/>
    <mergeCell ref="F486:G486"/>
    <mergeCell ref="F487:G487"/>
    <mergeCell ref="F488:G488"/>
    <mergeCell ref="F489:G489"/>
    <mergeCell ref="F490:G490"/>
    <mergeCell ref="F491:G491"/>
    <mergeCell ref="F474:G474"/>
    <mergeCell ref="F475:G475"/>
    <mergeCell ref="F476:G476"/>
    <mergeCell ref="F477:G477"/>
    <mergeCell ref="F478:G478"/>
    <mergeCell ref="F479:G479"/>
    <mergeCell ref="F480:G480"/>
    <mergeCell ref="F481:G481"/>
    <mergeCell ref="F482:G482"/>
    <mergeCell ref="F465:G465"/>
    <mergeCell ref="F466:G466"/>
    <mergeCell ref="F467:G467"/>
    <mergeCell ref="F468:G468"/>
    <mergeCell ref="F469:G469"/>
    <mergeCell ref="F470:G470"/>
    <mergeCell ref="F471:G471"/>
    <mergeCell ref="F472:G472"/>
    <mergeCell ref="F473:G473"/>
    <mergeCell ref="F456:G456"/>
    <mergeCell ref="F457:G457"/>
    <mergeCell ref="F458:G458"/>
    <mergeCell ref="F459:G459"/>
    <mergeCell ref="F460:G460"/>
    <mergeCell ref="F461:G461"/>
    <mergeCell ref="F462:G462"/>
    <mergeCell ref="F463:G463"/>
    <mergeCell ref="F464:G464"/>
    <mergeCell ref="F447:G447"/>
    <mergeCell ref="F448:G448"/>
    <mergeCell ref="F449:G449"/>
    <mergeCell ref="F450:G450"/>
    <mergeCell ref="F451:G451"/>
    <mergeCell ref="F452:G452"/>
    <mergeCell ref="F453:G453"/>
    <mergeCell ref="F454:G454"/>
    <mergeCell ref="F455:G455"/>
    <mergeCell ref="F438:G438"/>
    <mergeCell ref="F439:G439"/>
    <mergeCell ref="F440:G440"/>
    <mergeCell ref="F441:G441"/>
    <mergeCell ref="F442:G442"/>
    <mergeCell ref="F443:G443"/>
    <mergeCell ref="F444:G444"/>
    <mergeCell ref="F445:G445"/>
    <mergeCell ref="F446:G446"/>
    <mergeCell ref="F429:G429"/>
    <mergeCell ref="F430:G430"/>
    <mergeCell ref="F431:G431"/>
    <mergeCell ref="F432:G432"/>
    <mergeCell ref="F433:G433"/>
    <mergeCell ref="F434:G434"/>
    <mergeCell ref="F435:G435"/>
    <mergeCell ref="F436:G436"/>
    <mergeCell ref="F437:G437"/>
    <mergeCell ref="F420:G420"/>
    <mergeCell ref="F421:G421"/>
    <mergeCell ref="F422:G422"/>
    <mergeCell ref="F423:G423"/>
    <mergeCell ref="F424:G424"/>
    <mergeCell ref="F425:G425"/>
    <mergeCell ref="F426:G426"/>
    <mergeCell ref="F427:G427"/>
    <mergeCell ref="F428:G428"/>
    <mergeCell ref="F411:G411"/>
    <mergeCell ref="F412:G412"/>
    <mergeCell ref="F413:G413"/>
    <mergeCell ref="F414:G414"/>
    <mergeCell ref="F415:G415"/>
    <mergeCell ref="F416:G416"/>
    <mergeCell ref="F417:G417"/>
    <mergeCell ref="F418:G418"/>
    <mergeCell ref="F419:G419"/>
    <mergeCell ref="F402:G402"/>
    <mergeCell ref="F403:G403"/>
    <mergeCell ref="F404:G404"/>
    <mergeCell ref="F405:G405"/>
    <mergeCell ref="F406:G406"/>
    <mergeCell ref="F407:G407"/>
    <mergeCell ref="F408:G408"/>
    <mergeCell ref="F409:G409"/>
    <mergeCell ref="F410:G410"/>
    <mergeCell ref="F393:G393"/>
    <mergeCell ref="F394:G394"/>
    <mergeCell ref="F395:G395"/>
    <mergeCell ref="F396:G396"/>
    <mergeCell ref="F397:G397"/>
    <mergeCell ref="F398:G398"/>
    <mergeCell ref="F399:G399"/>
    <mergeCell ref="F400:G400"/>
    <mergeCell ref="F401:G401"/>
    <mergeCell ref="F384:G384"/>
    <mergeCell ref="F385:G385"/>
    <mergeCell ref="F386:G386"/>
    <mergeCell ref="F387:G387"/>
    <mergeCell ref="F388:G388"/>
    <mergeCell ref="F389:G389"/>
    <mergeCell ref="F390:G390"/>
    <mergeCell ref="F391:G391"/>
    <mergeCell ref="F392:G392"/>
    <mergeCell ref="F375:G375"/>
    <mergeCell ref="F376:G376"/>
    <mergeCell ref="F377:G377"/>
    <mergeCell ref="F378:G378"/>
    <mergeCell ref="F379:G379"/>
    <mergeCell ref="F380:G380"/>
    <mergeCell ref="F381:G381"/>
    <mergeCell ref="F382:G382"/>
    <mergeCell ref="F383:G383"/>
    <mergeCell ref="F366:G366"/>
    <mergeCell ref="F367:G367"/>
    <mergeCell ref="F368:G368"/>
    <mergeCell ref="F369:G369"/>
    <mergeCell ref="F370:G370"/>
    <mergeCell ref="F371:G371"/>
    <mergeCell ref="F372:G372"/>
    <mergeCell ref="F373:G373"/>
    <mergeCell ref="F374:G374"/>
    <mergeCell ref="F357:G357"/>
    <mergeCell ref="F358:G358"/>
    <mergeCell ref="F359:G359"/>
    <mergeCell ref="F360:G360"/>
    <mergeCell ref="F361:G361"/>
    <mergeCell ref="F362:G362"/>
    <mergeCell ref="F363:G363"/>
    <mergeCell ref="F364:G364"/>
    <mergeCell ref="F365:G365"/>
    <mergeCell ref="F348:G348"/>
    <mergeCell ref="F349:G349"/>
    <mergeCell ref="F350:G350"/>
    <mergeCell ref="F351:G351"/>
    <mergeCell ref="F352:G352"/>
    <mergeCell ref="F353:G353"/>
    <mergeCell ref="F354:G354"/>
    <mergeCell ref="F355:G355"/>
    <mergeCell ref="F356:G356"/>
    <mergeCell ref="F339:G339"/>
    <mergeCell ref="F340:G340"/>
    <mergeCell ref="F341:G341"/>
    <mergeCell ref="F342:G342"/>
    <mergeCell ref="F343:G343"/>
    <mergeCell ref="F344:G344"/>
    <mergeCell ref="F345:G345"/>
    <mergeCell ref="F346:G346"/>
    <mergeCell ref="F347:G347"/>
    <mergeCell ref="F330:G330"/>
    <mergeCell ref="F331:G331"/>
    <mergeCell ref="F332:G332"/>
    <mergeCell ref="F333:G333"/>
    <mergeCell ref="F334:G334"/>
    <mergeCell ref="F335:G335"/>
    <mergeCell ref="F336:G336"/>
    <mergeCell ref="F337:G337"/>
    <mergeCell ref="F338:G338"/>
    <mergeCell ref="F321:G321"/>
    <mergeCell ref="F322:G322"/>
    <mergeCell ref="F323:G323"/>
    <mergeCell ref="F324:G324"/>
    <mergeCell ref="F325:G325"/>
    <mergeCell ref="F326:G326"/>
    <mergeCell ref="F327:G327"/>
    <mergeCell ref="F328:G328"/>
    <mergeCell ref="F329:G329"/>
    <mergeCell ref="F312:G312"/>
    <mergeCell ref="F313:G313"/>
    <mergeCell ref="F314:G314"/>
    <mergeCell ref="F315:G315"/>
    <mergeCell ref="F316:G316"/>
    <mergeCell ref="F317:G317"/>
    <mergeCell ref="F318:G318"/>
    <mergeCell ref="F319:G319"/>
    <mergeCell ref="F320:G320"/>
    <mergeCell ref="F303:G303"/>
    <mergeCell ref="F304:G304"/>
    <mergeCell ref="F305:G305"/>
    <mergeCell ref="F306:G306"/>
    <mergeCell ref="F307:G307"/>
    <mergeCell ref="F308:G308"/>
    <mergeCell ref="F309:G309"/>
    <mergeCell ref="F310:G310"/>
    <mergeCell ref="F311:G311"/>
    <mergeCell ref="F294:G294"/>
    <mergeCell ref="F295:G295"/>
    <mergeCell ref="F296:G296"/>
    <mergeCell ref="F297:G297"/>
    <mergeCell ref="F298:G298"/>
    <mergeCell ref="F299:G299"/>
    <mergeCell ref="F300:G300"/>
    <mergeCell ref="F301:G301"/>
    <mergeCell ref="F302:G302"/>
    <mergeCell ref="F285:G285"/>
    <mergeCell ref="F286:G286"/>
    <mergeCell ref="F287:G287"/>
    <mergeCell ref="F288:G288"/>
    <mergeCell ref="F289:G289"/>
    <mergeCell ref="F290:G290"/>
    <mergeCell ref="F291:G291"/>
    <mergeCell ref="F292:G292"/>
    <mergeCell ref="F293:G293"/>
    <mergeCell ref="F276:G276"/>
    <mergeCell ref="F277:G277"/>
    <mergeCell ref="F278:G278"/>
    <mergeCell ref="F279:G279"/>
    <mergeCell ref="F280:G280"/>
    <mergeCell ref="F281:G281"/>
    <mergeCell ref="F282:G282"/>
    <mergeCell ref="F283:G283"/>
    <mergeCell ref="F284:G284"/>
    <mergeCell ref="F267:G267"/>
    <mergeCell ref="F268:G268"/>
    <mergeCell ref="F269:G269"/>
    <mergeCell ref="F270:G270"/>
    <mergeCell ref="F271:G271"/>
    <mergeCell ref="F272:G272"/>
    <mergeCell ref="F273:G273"/>
    <mergeCell ref="F274:G274"/>
    <mergeCell ref="F275:G275"/>
    <mergeCell ref="F258:G258"/>
    <mergeCell ref="F259:G259"/>
    <mergeCell ref="F260:G260"/>
    <mergeCell ref="F261:G261"/>
    <mergeCell ref="F262:G262"/>
    <mergeCell ref="F263:G263"/>
    <mergeCell ref="F264:G264"/>
    <mergeCell ref="F265:G265"/>
    <mergeCell ref="F266:G266"/>
    <mergeCell ref="F249:G249"/>
    <mergeCell ref="F250:G250"/>
    <mergeCell ref="F251:G251"/>
    <mergeCell ref="F252:G252"/>
    <mergeCell ref="F253:G253"/>
    <mergeCell ref="F254:G254"/>
    <mergeCell ref="F255:G255"/>
    <mergeCell ref="F256:G256"/>
    <mergeCell ref="F257:G257"/>
    <mergeCell ref="F240:G240"/>
    <mergeCell ref="F241:G241"/>
    <mergeCell ref="F242:G242"/>
    <mergeCell ref="F243:G243"/>
    <mergeCell ref="F244:G244"/>
    <mergeCell ref="F245:G245"/>
    <mergeCell ref="F246:G246"/>
    <mergeCell ref="F247:G247"/>
    <mergeCell ref="F248:G248"/>
    <mergeCell ref="F231:G231"/>
    <mergeCell ref="F232:G232"/>
    <mergeCell ref="F233:G233"/>
    <mergeCell ref="F234:G234"/>
    <mergeCell ref="F235:G235"/>
    <mergeCell ref="F236:G236"/>
    <mergeCell ref="F237:G237"/>
    <mergeCell ref="F238:G238"/>
    <mergeCell ref="F239:G239"/>
    <mergeCell ref="F222:G222"/>
    <mergeCell ref="F223:G223"/>
    <mergeCell ref="F224:G224"/>
    <mergeCell ref="F225:G225"/>
    <mergeCell ref="F226:G226"/>
    <mergeCell ref="F227:G227"/>
    <mergeCell ref="F228:G228"/>
    <mergeCell ref="F229:G229"/>
    <mergeCell ref="F230:G230"/>
    <mergeCell ref="F213:G213"/>
    <mergeCell ref="F214:G214"/>
    <mergeCell ref="F215:G215"/>
    <mergeCell ref="F216:G216"/>
    <mergeCell ref="F217:G217"/>
    <mergeCell ref="F218:G218"/>
    <mergeCell ref="F219:G219"/>
    <mergeCell ref="F220:G220"/>
    <mergeCell ref="F221:G221"/>
    <mergeCell ref="G5:H5"/>
    <mergeCell ref="G6:H6"/>
    <mergeCell ref="G7:H7"/>
    <mergeCell ref="G8:H8"/>
    <mergeCell ref="G9:H9"/>
    <mergeCell ref="A11:B11"/>
    <mergeCell ref="C11:H11"/>
    <mergeCell ref="D5:E5"/>
    <mergeCell ref="D6:E6"/>
    <mergeCell ref="D7:E8"/>
    <mergeCell ref="A6:C6"/>
    <mergeCell ref="A9:C9"/>
    <mergeCell ref="A7:C8"/>
    <mergeCell ref="A5:C5"/>
    <mergeCell ref="C18:D18"/>
    <mergeCell ref="C19:D19"/>
    <mergeCell ref="C20:D20"/>
    <mergeCell ref="C21:D21"/>
    <mergeCell ref="C22:D22"/>
    <mergeCell ref="C23:D23"/>
    <mergeCell ref="F19:G19"/>
    <mergeCell ref="C30:D30"/>
    <mergeCell ref="C31:D31"/>
    <mergeCell ref="C1:D1"/>
    <mergeCell ref="C13:D13"/>
    <mergeCell ref="C14:D14"/>
    <mergeCell ref="C15:D15"/>
    <mergeCell ref="C16:D16"/>
    <mergeCell ref="C17:D17"/>
    <mergeCell ref="A2:H2"/>
    <mergeCell ref="A3:H3"/>
    <mergeCell ref="A4:H4"/>
    <mergeCell ref="C12:D12"/>
    <mergeCell ref="F1:G1"/>
    <mergeCell ref="F13:G13"/>
    <mergeCell ref="F14:G14"/>
    <mergeCell ref="F15:G15"/>
    <mergeCell ref="F16:G16"/>
    <mergeCell ref="F17:G17"/>
    <mergeCell ref="F18:G18"/>
    <mergeCell ref="C32:D32"/>
    <mergeCell ref="C33:D33"/>
    <mergeCell ref="C34:D34"/>
    <mergeCell ref="C35:D35"/>
    <mergeCell ref="C24:D24"/>
    <mergeCell ref="C25:D25"/>
    <mergeCell ref="C26:D26"/>
    <mergeCell ref="C27:D27"/>
    <mergeCell ref="C28:D28"/>
    <mergeCell ref="C29:D29"/>
    <mergeCell ref="C42:D42"/>
    <mergeCell ref="C43:D43"/>
    <mergeCell ref="C44:D44"/>
    <mergeCell ref="C45:D45"/>
    <mergeCell ref="C46:D46"/>
    <mergeCell ref="C47:D47"/>
    <mergeCell ref="C36:D36"/>
    <mergeCell ref="C37:D37"/>
    <mergeCell ref="C38:D38"/>
    <mergeCell ref="C39:D39"/>
    <mergeCell ref="C40:D40"/>
    <mergeCell ref="C41:D41"/>
    <mergeCell ref="C54:D54"/>
    <mergeCell ref="C55:D55"/>
    <mergeCell ref="C56:D56"/>
    <mergeCell ref="C57:D57"/>
    <mergeCell ref="C58:D58"/>
    <mergeCell ref="C59:D59"/>
    <mergeCell ref="C48:D48"/>
    <mergeCell ref="C49:D49"/>
    <mergeCell ref="C50:D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78:D78"/>
    <mergeCell ref="C79:D79"/>
    <mergeCell ref="C80:D80"/>
    <mergeCell ref="C81:D81"/>
    <mergeCell ref="C82:D82"/>
    <mergeCell ref="C83:D83"/>
    <mergeCell ref="C72:D72"/>
    <mergeCell ref="C73:D73"/>
    <mergeCell ref="C74:D74"/>
    <mergeCell ref="C75:D75"/>
    <mergeCell ref="C76:D76"/>
    <mergeCell ref="C77:D77"/>
    <mergeCell ref="C90:D90"/>
    <mergeCell ref="C91:D91"/>
    <mergeCell ref="C92:D92"/>
    <mergeCell ref="C93:D93"/>
    <mergeCell ref="C94:D94"/>
    <mergeCell ref="C95:D95"/>
    <mergeCell ref="C84:D84"/>
    <mergeCell ref="C85:D85"/>
    <mergeCell ref="C86:D86"/>
    <mergeCell ref="C87:D87"/>
    <mergeCell ref="C88:D88"/>
    <mergeCell ref="C89:D89"/>
    <mergeCell ref="C102:D102"/>
    <mergeCell ref="C103:D103"/>
    <mergeCell ref="C104:D104"/>
    <mergeCell ref="C105:D105"/>
    <mergeCell ref="C106:D106"/>
    <mergeCell ref="C107:D107"/>
    <mergeCell ref="C96:D96"/>
    <mergeCell ref="C97:D97"/>
    <mergeCell ref="C98:D98"/>
    <mergeCell ref="C99:D99"/>
    <mergeCell ref="C100:D100"/>
    <mergeCell ref="C101:D101"/>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77:D177"/>
    <mergeCell ref="C178:D178"/>
    <mergeCell ref="C179:D179"/>
    <mergeCell ref="C168:D168"/>
    <mergeCell ref="C169:D169"/>
    <mergeCell ref="C170:D170"/>
    <mergeCell ref="C171:D171"/>
    <mergeCell ref="C172:D172"/>
    <mergeCell ref="C173:D173"/>
    <mergeCell ref="C204:D204"/>
    <mergeCell ref="C205:D205"/>
    <mergeCell ref="C206:D206"/>
    <mergeCell ref="C198:D198"/>
    <mergeCell ref="C199:D199"/>
    <mergeCell ref="C200:D200"/>
    <mergeCell ref="C201:D201"/>
    <mergeCell ref="C202:D202"/>
    <mergeCell ref="C203:D203"/>
    <mergeCell ref="C192:D192"/>
    <mergeCell ref="C193:D193"/>
    <mergeCell ref="C194:D194"/>
    <mergeCell ref="C195:D195"/>
    <mergeCell ref="C196:D196"/>
    <mergeCell ref="C197:D197"/>
    <mergeCell ref="C186:D186"/>
    <mergeCell ref="C187:D187"/>
    <mergeCell ref="C188:D188"/>
    <mergeCell ref="F20:G20"/>
    <mergeCell ref="F21:G21"/>
    <mergeCell ref="F22:G22"/>
    <mergeCell ref="C210:D210"/>
    <mergeCell ref="C211:D211"/>
    <mergeCell ref="C212:D212"/>
    <mergeCell ref="C207:D207"/>
    <mergeCell ref="C208:D208"/>
    <mergeCell ref="C209:D209"/>
    <mergeCell ref="C189:D189"/>
    <mergeCell ref="C190:D190"/>
    <mergeCell ref="C191:D191"/>
    <mergeCell ref="C180:D180"/>
    <mergeCell ref="C181:D181"/>
    <mergeCell ref="C182:D182"/>
    <mergeCell ref="C183:D183"/>
    <mergeCell ref="C184:D184"/>
    <mergeCell ref="C185:D185"/>
    <mergeCell ref="C174:D174"/>
    <mergeCell ref="C175:D175"/>
    <mergeCell ref="C176:D176"/>
    <mergeCell ref="F29:G29"/>
    <mergeCell ref="F30:G30"/>
    <mergeCell ref="F31:G31"/>
    <mergeCell ref="F32:G32"/>
    <mergeCell ref="F33:G33"/>
    <mergeCell ref="F34:G34"/>
    <mergeCell ref="F23:G23"/>
    <mergeCell ref="F24:G24"/>
    <mergeCell ref="F25:G25"/>
    <mergeCell ref="F26:G26"/>
    <mergeCell ref="F27:G27"/>
    <mergeCell ref="F28:G28"/>
    <mergeCell ref="F41:G41"/>
    <mergeCell ref="F42:G42"/>
    <mergeCell ref="F43:G43"/>
    <mergeCell ref="F44:G44"/>
    <mergeCell ref="F45:G45"/>
    <mergeCell ref="F46:G46"/>
    <mergeCell ref="F35:G35"/>
    <mergeCell ref="F36:G36"/>
    <mergeCell ref="F37:G37"/>
    <mergeCell ref="F38:G38"/>
    <mergeCell ref="F39:G39"/>
    <mergeCell ref="F40:G40"/>
    <mergeCell ref="F53:G53"/>
    <mergeCell ref="F54:G54"/>
    <mergeCell ref="F55:G55"/>
    <mergeCell ref="F56:G56"/>
    <mergeCell ref="F57:G57"/>
    <mergeCell ref="F58:G58"/>
    <mergeCell ref="F47:G47"/>
    <mergeCell ref="F48:G48"/>
    <mergeCell ref="F49:G49"/>
    <mergeCell ref="F50:G50"/>
    <mergeCell ref="F51:G51"/>
    <mergeCell ref="F52:G52"/>
    <mergeCell ref="F65:G65"/>
    <mergeCell ref="F66:G66"/>
    <mergeCell ref="F67:G67"/>
    <mergeCell ref="F68:G68"/>
    <mergeCell ref="F69:G69"/>
    <mergeCell ref="F70:G70"/>
    <mergeCell ref="F59:G59"/>
    <mergeCell ref="F60:G60"/>
    <mergeCell ref="F61:G61"/>
    <mergeCell ref="F62:G62"/>
    <mergeCell ref="F63:G63"/>
    <mergeCell ref="F64:G64"/>
    <mergeCell ref="F77:G77"/>
    <mergeCell ref="F78:G78"/>
    <mergeCell ref="F79:G79"/>
    <mergeCell ref="F80:G80"/>
    <mergeCell ref="F81:G81"/>
    <mergeCell ref="F82:G82"/>
    <mergeCell ref="F71:G71"/>
    <mergeCell ref="F72:G72"/>
    <mergeCell ref="F73:G73"/>
    <mergeCell ref="F74:G74"/>
    <mergeCell ref="F75:G75"/>
    <mergeCell ref="F76:G76"/>
    <mergeCell ref="F89:G89"/>
    <mergeCell ref="F90:G90"/>
    <mergeCell ref="F91:G91"/>
    <mergeCell ref="F92:G92"/>
    <mergeCell ref="F93:G93"/>
    <mergeCell ref="F94:G94"/>
    <mergeCell ref="F83:G83"/>
    <mergeCell ref="F84:G84"/>
    <mergeCell ref="F85:G85"/>
    <mergeCell ref="F86:G86"/>
    <mergeCell ref="F87:G87"/>
    <mergeCell ref="F88:G88"/>
    <mergeCell ref="F101:G101"/>
    <mergeCell ref="F102:G102"/>
    <mergeCell ref="F103:G103"/>
    <mergeCell ref="F104:G104"/>
    <mergeCell ref="F105:G105"/>
    <mergeCell ref="F106:G106"/>
    <mergeCell ref="F95:G95"/>
    <mergeCell ref="F96:G96"/>
    <mergeCell ref="F97:G97"/>
    <mergeCell ref="F98:G98"/>
    <mergeCell ref="F99:G99"/>
    <mergeCell ref="F100:G100"/>
    <mergeCell ref="F113:G113"/>
    <mergeCell ref="F114:G114"/>
    <mergeCell ref="F115:G115"/>
    <mergeCell ref="F116:G116"/>
    <mergeCell ref="F117:G117"/>
    <mergeCell ref="F118:G118"/>
    <mergeCell ref="F107:G107"/>
    <mergeCell ref="F108:G108"/>
    <mergeCell ref="F109:G109"/>
    <mergeCell ref="F110:G110"/>
    <mergeCell ref="F111:G111"/>
    <mergeCell ref="F112:G112"/>
    <mergeCell ref="F125:G125"/>
    <mergeCell ref="F126:G126"/>
    <mergeCell ref="F127:G127"/>
    <mergeCell ref="F128:G128"/>
    <mergeCell ref="F129:G129"/>
    <mergeCell ref="F130:G130"/>
    <mergeCell ref="F119:G119"/>
    <mergeCell ref="F120:G120"/>
    <mergeCell ref="F121:G121"/>
    <mergeCell ref="F122:G122"/>
    <mergeCell ref="F123:G123"/>
    <mergeCell ref="F124:G124"/>
    <mergeCell ref="F137:G137"/>
    <mergeCell ref="F138:G138"/>
    <mergeCell ref="F139:G139"/>
    <mergeCell ref="F140:G140"/>
    <mergeCell ref="F141:G141"/>
    <mergeCell ref="F142:G142"/>
    <mergeCell ref="F131:G131"/>
    <mergeCell ref="F132:G132"/>
    <mergeCell ref="F133:G133"/>
    <mergeCell ref="F134:G134"/>
    <mergeCell ref="F135:G135"/>
    <mergeCell ref="F136:G136"/>
    <mergeCell ref="F168:G168"/>
    <mergeCell ref="F169:G169"/>
    <mergeCell ref="F170:G170"/>
    <mergeCell ref="F171:G171"/>
    <mergeCell ref="F172:G172"/>
    <mergeCell ref="F149:G149"/>
    <mergeCell ref="F150:G150"/>
    <mergeCell ref="F151:G151"/>
    <mergeCell ref="F152:G152"/>
    <mergeCell ref="F153:G153"/>
    <mergeCell ref="F154:G154"/>
    <mergeCell ref="F143:G143"/>
    <mergeCell ref="F144:G144"/>
    <mergeCell ref="F145:G145"/>
    <mergeCell ref="F146:G146"/>
    <mergeCell ref="F147:G147"/>
    <mergeCell ref="F148:G148"/>
    <mergeCell ref="F161:G161"/>
    <mergeCell ref="F162:G162"/>
    <mergeCell ref="F163:G163"/>
    <mergeCell ref="F164:G164"/>
    <mergeCell ref="F165:G165"/>
    <mergeCell ref="F212:G212"/>
    <mergeCell ref="F12:G12"/>
    <mergeCell ref="F203:G203"/>
    <mergeCell ref="F204:G204"/>
    <mergeCell ref="F205:G205"/>
    <mergeCell ref="F206:G206"/>
    <mergeCell ref="F207:G207"/>
    <mergeCell ref="F208:G208"/>
    <mergeCell ref="F197:G197"/>
    <mergeCell ref="F198:G198"/>
    <mergeCell ref="F199:G199"/>
    <mergeCell ref="F200:G200"/>
    <mergeCell ref="F201:G201"/>
    <mergeCell ref="F202:G202"/>
    <mergeCell ref="F191:G191"/>
    <mergeCell ref="F192:G192"/>
    <mergeCell ref="F193:G193"/>
    <mergeCell ref="F194:G194"/>
    <mergeCell ref="F166:G166"/>
    <mergeCell ref="F155:G155"/>
    <mergeCell ref="F156:G156"/>
    <mergeCell ref="F157:G157"/>
    <mergeCell ref="F158:G158"/>
    <mergeCell ref="F159:G159"/>
    <mergeCell ref="F160:G160"/>
    <mergeCell ref="F173:G173"/>
    <mergeCell ref="F174:G174"/>
    <mergeCell ref="F175:G175"/>
    <mergeCell ref="F176:G176"/>
    <mergeCell ref="F177:G177"/>
    <mergeCell ref="F178:G178"/>
    <mergeCell ref="F167:G167"/>
    <mergeCell ref="F195:G195"/>
    <mergeCell ref="F196:G196"/>
    <mergeCell ref="F185:G185"/>
    <mergeCell ref="F186:G186"/>
    <mergeCell ref="F187:G187"/>
    <mergeCell ref="F188:G188"/>
    <mergeCell ref="F189:G189"/>
    <mergeCell ref="F190:G190"/>
    <mergeCell ref="F179:G179"/>
    <mergeCell ref="F180:G180"/>
    <mergeCell ref="F181:G181"/>
    <mergeCell ref="F182:G182"/>
    <mergeCell ref="F183:G183"/>
    <mergeCell ref="F184:G184"/>
    <mergeCell ref="F209:G209"/>
    <mergeCell ref="F210:G210"/>
    <mergeCell ref="F211:G211"/>
  </mergeCells>
  <conditionalFormatting sqref="B13:B204">
    <cfRule type="expression" dxfId="60" priority="7">
      <formula>$L13="YES"</formula>
    </cfRule>
  </conditionalFormatting>
  <conditionalFormatting sqref="B206:B217">
    <cfRule type="expression" dxfId="59" priority="1">
      <formula>$L205="YES"</formula>
    </cfRule>
  </conditionalFormatting>
  <dataValidations count="1">
    <dataValidation type="date" allowBlank="1" showInputMessage="1" showErrorMessage="1" prompt="Use MM/DD/YYYY format.  Leave blank until date is needed. " sqref="B13:B204 B206:B217" xr:uid="{00000000-0002-0000-0100-000000000000}">
      <formula1>36526</formula1>
      <formula2>47848</formula2>
    </dataValidation>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'drop down list '!$A$26:$A$27</xm:f>
          </x14:formula1>
          <xm:sqref>E13:E212</xm:sqref>
        </x14:dataValidation>
        <x14:dataValidation type="list" allowBlank="1" showInputMessage="1" showErrorMessage="1" xr:uid="{00000000-0002-0000-0100-000002000000}">
          <x14:formula1>
            <xm:f>'drop down list '!$A$3:$A$4</xm:f>
          </x14:formula1>
          <xm:sqref>H13:H212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H212"/>
  <sheetViews>
    <sheetView workbookViewId="0">
      <pane ySplit="1" topLeftCell="A206" activePane="bottomLeft" state="frozen"/>
      <selection pane="bottomLeft" activeCell="B13" sqref="B13:H212"/>
    </sheetView>
  </sheetViews>
  <sheetFormatPr defaultRowHeight="15" x14ac:dyDescent="0.25"/>
  <cols>
    <col min="1" max="1" width="6.28515625" customWidth="1"/>
    <col min="2" max="2" width="14.28515625" customWidth="1"/>
    <col min="3" max="3" width="20.5703125" customWidth="1"/>
    <col min="4" max="4" width="27.28515625" customWidth="1"/>
    <col min="5" max="5" width="15" customWidth="1"/>
    <col min="6" max="6" width="37.7109375" customWidth="1"/>
    <col min="7" max="7" width="30.7109375" customWidth="1"/>
    <col min="8" max="8" width="17.5703125" customWidth="1"/>
  </cols>
  <sheetData>
    <row r="1" spans="1:8" ht="45" customHeight="1" x14ac:dyDescent="0.25">
      <c r="A1" s="132" t="s">
        <v>23</v>
      </c>
      <c r="B1" s="35" t="s">
        <v>137</v>
      </c>
      <c r="C1" s="410" t="s">
        <v>145</v>
      </c>
      <c r="D1" s="411"/>
      <c r="E1" s="390" t="s">
        <v>146</v>
      </c>
      <c r="F1" s="391"/>
      <c r="G1" s="392" t="s">
        <v>147</v>
      </c>
      <c r="H1" s="393"/>
    </row>
    <row r="2" spans="1:8" ht="15.75" x14ac:dyDescent="0.25">
      <c r="A2" s="412" t="str">
        <f>'CLIENT ENROLLMENT DISCHARGE '!A2</f>
        <v>WV Bureau for Behavioral Health and Health Facilities  - Customized Employment v20230622</v>
      </c>
      <c r="B2" s="412"/>
      <c r="C2" s="412"/>
      <c r="D2" s="412"/>
      <c r="E2" s="412"/>
      <c r="F2" s="412"/>
      <c r="G2" s="412"/>
      <c r="H2" s="412"/>
    </row>
    <row r="3" spans="1:8" x14ac:dyDescent="0.25">
      <c r="A3" s="413" t="str">
        <f>'CLIENT ENROLLMENT DISCHARGE '!A3</f>
        <v>State Fiscal Year  2024  (July 1, 2023 - June 30, 2024)</v>
      </c>
      <c r="B3" s="413"/>
      <c r="C3" s="413"/>
      <c r="D3" s="413"/>
      <c r="E3" s="413"/>
      <c r="F3" s="413"/>
      <c r="G3" s="413"/>
      <c r="H3" s="413"/>
    </row>
    <row r="4" spans="1:8" x14ac:dyDescent="0.25">
      <c r="A4" s="414" t="str">
        <f>'CLIENT ENROLLMENT DISCHARGE '!A4</f>
        <v xml:space="preserve">Program reports need to be submitted electronically, via e-mail to DHHRBBHReporting@wv.gov  within 25 calendar days of the end of each month </v>
      </c>
      <c r="B4" s="414"/>
      <c r="C4" s="414"/>
      <c r="D4" s="414"/>
      <c r="E4" s="414"/>
      <c r="F4" s="414"/>
      <c r="G4" s="414"/>
      <c r="H4" s="414"/>
    </row>
    <row r="5" spans="1:8" ht="15.75" x14ac:dyDescent="0.25">
      <c r="A5" s="406" t="s">
        <v>33</v>
      </c>
      <c r="B5" s="406"/>
      <c r="C5" s="406"/>
      <c r="D5" s="279" t="str">
        <f>'CLIENT ENROLLMENT DISCHARGE '!E5</f>
        <v>Customized Employment</v>
      </c>
      <c r="E5" s="279"/>
      <c r="F5" s="177" t="s">
        <v>32</v>
      </c>
      <c r="G5" s="415">
        <f>'CLIENT ENROLLMENT DISCHARGE '!M5</f>
        <v>0</v>
      </c>
      <c r="H5" s="415"/>
    </row>
    <row r="6" spans="1:8" ht="15.75" x14ac:dyDescent="0.25">
      <c r="A6" s="406" t="s">
        <v>31</v>
      </c>
      <c r="B6" s="406"/>
      <c r="C6" s="406"/>
      <c r="D6" s="279">
        <f>'CLIENT ENROLLMENT DISCHARGE '!E6</f>
        <v>0</v>
      </c>
      <c r="E6" s="279"/>
      <c r="F6" s="177" t="s">
        <v>30</v>
      </c>
      <c r="G6" s="407">
        <f>'CLIENT ENROLLMENT DISCHARGE '!M6</f>
        <v>0</v>
      </c>
      <c r="H6" s="407"/>
    </row>
    <row r="7" spans="1:8" ht="15.75" x14ac:dyDescent="0.25">
      <c r="A7" s="408" t="s">
        <v>29</v>
      </c>
      <c r="B7" s="408"/>
      <c r="C7" s="408"/>
      <c r="D7" s="409">
        <f>'CLIENT ENROLLMENT DISCHARGE '!E7</f>
        <v>0</v>
      </c>
      <c r="E7" s="409"/>
      <c r="F7" s="177" t="s">
        <v>124</v>
      </c>
      <c r="G7" s="407">
        <f>'CLIENT ENROLLMENT DISCHARGE '!M7</f>
        <v>0</v>
      </c>
      <c r="H7" s="407"/>
    </row>
    <row r="8" spans="1:8" ht="15.75" x14ac:dyDescent="0.25">
      <c r="A8" s="408"/>
      <c r="B8" s="408"/>
      <c r="C8" s="408"/>
      <c r="D8" s="409"/>
      <c r="E8" s="409"/>
      <c r="F8" s="178" t="s">
        <v>28</v>
      </c>
      <c r="G8" s="407">
        <f>'CLIENT ENROLLMENT DISCHARGE '!M8</f>
        <v>0</v>
      </c>
      <c r="H8" s="407"/>
    </row>
    <row r="9" spans="1:8" ht="15" customHeight="1" x14ac:dyDescent="0.25">
      <c r="A9" s="416" t="s">
        <v>27</v>
      </c>
      <c r="B9" s="416"/>
      <c r="C9" s="416"/>
      <c r="D9" s="175" t="str">
        <f>'CLIENT ENROLLMENT DISCHARGE '!E9</f>
        <v>May 1 - 31</v>
      </c>
      <c r="E9" s="175">
        <f>'CLIENT ENROLLMENT DISCHARGE '!G9</f>
        <v>2023</v>
      </c>
      <c r="F9" s="179" t="s">
        <v>142</v>
      </c>
      <c r="G9" s="407">
        <f>'CLIENT ENROLLMENT DISCHARGE '!M9</f>
        <v>0</v>
      </c>
      <c r="H9" s="407"/>
    </row>
    <row r="10" spans="1:8" x14ac:dyDescent="0.25">
      <c r="A10" s="130"/>
      <c r="B10" s="129"/>
      <c r="C10" s="129"/>
      <c r="D10" s="129"/>
      <c r="E10" s="129"/>
      <c r="F10" s="129"/>
      <c r="G10" s="129"/>
      <c r="H10" s="131"/>
    </row>
    <row r="11" spans="1:8" ht="45" customHeight="1" x14ac:dyDescent="0.25">
      <c r="A11" s="398" t="s">
        <v>25</v>
      </c>
      <c r="B11" s="399"/>
      <c r="C11" s="400" t="s">
        <v>0</v>
      </c>
      <c r="D11" s="400"/>
      <c r="E11" s="400"/>
      <c r="F11" s="400"/>
      <c r="G11" s="400"/>
      <c r="H11" s="401"/>
    </row>
    <row r="12" spans="1:8" ht="45" customHeight="1" x14ac:dyDescent="0.25">
      <c r="A12" s="128" t="s">
        <v>23</v>
      </c>
      <c r="B12" s="128" t="s">
        <v>137</v>
      </c>
      <c r="C12" s="402" t="s">
        <v>145</v>
      </c>
      <c r="D12" s="403"/>
      <c r="E12" s="402" t="s">
        <v>146</v>
      </c>
      <c r="F12" s="403"/>
      <c r="G12" s="404" t="s">
        <v>147</v>
      </c>
      <c r="H12" s="405"/>
    </row>
    <row r="13" spans="1:8" ht="45" customHeight="1" x14ac:dyDescent="0.25">
      <c r="A13" s="133">
        <f>ROW(A1)</f>
        <v>1</v>
      </c>
      <c r="B13" s="154"/>
      <c r="C13" s="394"/>
      <c r="D13" s="395"/>
      <c r="E13" s="396"/>
      <c r="F13" s="397"/>
      <c r="G13" s="388"/>
      <c r="H13" s="389"/>
    </row>
    <row r="14" spans="1:8" ht="45" customHeight="1" x14ac:dyDescent="0.25">
      <c r="A14" s="133">
        <f t="shared" ref="A14:A77" si="0">ROW(A2)</f>
        <v>2</v>
      </c>
      <c r="B14" s="154"/>
      <c r="C14" s="394"/>
      <c r="D14" s="395"/>
      <c r="E14" s="396"/>
      <c r="F14" s="397"/>
      <c r="G14" s="388"/>
      <c r="H14" s="389"/>
    </row>
    <row r="15" spans="1:8" ht="45" customHeight="1" x14ac:dyDescent="0.25">
      <c r="A15" s="133">
        <f t="shared" si="0"/>
        <v>3</v>
      </c>
      <c r="B15" s="154"/>
      <c r="C15" s="394"/>
      <c r="D15" s="395"/>
      <c r="E15" s="396"/>
      <c r="F15" s="397"/>
      <c r="G15" s="388"/>
      <c r="H15" s="389"/>
    </row>
    <row r="16" spans="1:8" ht="45" customHeight="1" x14ac:dyDescent="0.25">
      <c r="A16" s="133">
        <f t="shared" si="0"/>
        <v>4</v>
      </c>
      <c r="B16" s="154"/>
      <c r="C16" s="394"/>
      <c r="D16" s="395"/>
      <c r="E16" s="396"/>
      <c r="F16" s="397"/>
      <c r="G16" s="388"/>
      <c r="H16" s="389"/>
    </row>
    <row r="17" spans="1:8" ht="45" customHeight="1" x14ac:dyDescent="0.25">
      <c r="A17" s="133">
        <f t="shared" si="0"/>
        <v>5</v>
      </c>
      <c r="B17" s="154"/>
      <c r="C17" s="394"/>
      <c r="D17" s="395"/>
      <c r="E17" s="396"/>
      <c r="F17" s="397"/>
      <c r="G17" s="388"/>
      <c r="H17" s="389"/>
    </row>
    <row r="18" spans="1:8" ht="45" customHeight="1" x14ac:dyDescent="0.25">
      <c r="A18" s="133">
        <f t="shared" si="0"/>
        <v>6</v>
      </c>
      <c r="B18" s="154"/>
      <c r="C18" s="394"/>
      <c r="D18" s="395"/>
      <c r="E18" s="396"/>
      <c r="F18" s="397"/>
      <c r="G18" s="388"/>
      <c r="H18" s="389"/>
    </row>
    <row r="19" spans="1:8" ht="45" customHeight="1" x14ac:dyDescent="0.25">
      <c r="A19" s="133">
        <f t="shared" si="0"/>
        <v>7</v>
      </c>
      <c r="B19" s="154"/>
      <c r="C19" s="394"/>
      <c r="D19" s="395"/>
      <c r="E19" s="396"/>
      <c r="F19" s="397"/>
      <c r="G19" s="388"/>
      <c r="H19" s="389"/>
    </row>
    <row r="20" spans="1:8" ht="45" customHeight="1" x14ac:dyDescent="0.25">
      <c r="A20" s="133">
        <f t="shared" si="0"/>
        <v>8</v>
      </c>
      <c r="B20" s="154"/>
      <c r="C20" s="394"/>
      <c r="D20" s="395"/>
      <c r="E20" s="396"/>
      <c r="F20" s="397"/>
      <c r="G20" s="388"/>
      <c r="H20" s="389"/>
    </row>
    <row r="21" spans="1:8" ht="45" customHeight="1" x14ac:dyDescent="0.25">
      <c r="A21" s="133">
        <f t="shared" si="0"/>
        <v>9</v>
      </c>
      <c r="B21" s="154"/>
      <c r="C21" s="394"/>
      <c r="D21" s="395"/>
      <c r="E21" s="396"/>
      <c r="F21" s="397"/>
      <c r="G21" s="388"/>
      <c r="H21" s="389"/>
    </row>
    <row r="22" spans="1:8" ht="45" customHeight="1" x14ac:dyDescent="0.25">
      <c r="A22" s="133">
        <f t="shared" si="0"/>
        <v>10</v>
      </c>
      <c r="B22" s="154"/>
      <c r="C22" s="394"/>
      <c r="D22" s="395"/>
      <c r="E22" s="396"/>
      <c r="F22" s="397"/>
      <c r="G22" s="388"/>
      <c r="H22" s="389"/>
    </row>
    <row r="23" spans="1:8" ht="45" customHeight="1" x14ac:dyDescent="0.25">
      <c r="A23" s="133">
        <f t="shared" si="0"/>
        <v>11</v>
      </c>
      <c r="B23" s="154"/>
      <c r="C23" s="394"/>
      <c r="D23" s="395"/>
      <c r="E23" s="396"/>
      <c r="F23" s="397"/>
      <c r="G23" s="388"/>
      <c r="H23" s="389"/>
    </row>
    <row r="24" spans="1:8" ht="45" customHeight="1" x14ac:dyDescent="0.25">
      <c r="A24" s="133">
        <f t="shared" si="0"/>
        <v>12</v>
      </c>
      <c r="B24" s="154"/>
      <c r="C24" s="394"/>
      <c r="D24" s="395"/>
      <c r="E24" s="396"/>
      <c r="F24" s="397"/>
      <c r="G24" s="388"/>
      <c r="H24" s="389"/>
    </row>
    <row r="25" spans="1:8" ht="45" customHeight="1" x14ac:dyDescent="0.25">
      <c r="A25" s="133">
        <f t="shared" si="0"/>
        <v>13</v>
      </c>
      <c r="B25" s="154"/>
      <c r="C25" s="394"/>
      <c r="D25" s="395"/>
      <c r="E25" s="396"/>
      <c r="F25" s="397"/>
      <c r="G25" s="388"/>
      <c r="H25" s="389"/>
    </row>
    <row r="26" spans="1:8" ht="45" customHeight="1" x14ac:dyDescent="0.25">
      <c r="A26" s="133">
        <f t="shared" si="0"/>
        <v>14</v>
      </c>
      <c r="B26" s="154"/>
      <c r="C26" s="394"/>
      <c r="D26" s="395"/>
      <c r="E26" s="396"/>
      <c r="F26" s="397"/>
      <c r="G26" s="388"/>
      <c r="H26" s="389"/>
    </row>
    <row r="27" spans="1:8" ht="45" customHeight="1" x14ac:dyDescent="0.25">
      <c r="A27" s="133">
        <f t="shared" si="0"/>
        <v>15</v>
      </c>
      <c r="B27" s="154"/>
      <c r="C27" s="394"/>
      <c r="D27" s="395"/>
      <c r="E27" s="396"/>
      <c r="F27" s="397"/>
      <c r="G27" s="388"/>
      <c r="H27" s="389"/>
    </row>
    <row r="28" spans="1:8" ht="45" customHeight="1" x14ac:dyDescent="0.25">
      <c r="A28" s="133">
        <f t="shared" si="0"/>
        <v>16</v>
      </c>
      <c r="B28" s="154"/>
      <c r="C28" s="394"/>
      <c r="D28" s="395"/>
      <c r="E28" s="396"/>
      <c r="F28" s="397"/>
      <c r="G28" s="388"/>
      <c r="H28" s="389"/>
    </row>
    <row r="29" spans="1:8" ht="45" customHeight="1" x14ac:dyDescent="0.25">
      <c r="A29" s="133">
        <f t="shared" si="0"/>
        <v>17</v>
      </c>
      <c r="B29" s="154"/>
      <c r="C29" s="394"/>
      <c r="D29" s="395"/>
      <c r="E29" s="396"/>
      <c r="F29" s="397"/>
      <c r="G29" s="388"/>
      <c r="H29" s="389"/>
    </row>
    <row r="30" spans="1:8" ht="45" customHeight="1" x14ac:dyDescent="0.25">
      <c r="A30" s="133">
        <f t="shared" si="0"/>
        <v>18</v>
      </c>
      <c r="B30" s="154"/>
      <c r="C30" s="394"/>
      <c r="D30" s="395"/>
      <c r="E30" s="396"/>
      <c r="F30" s="397"/>
      <c r="G30" s="388"/>
      <c r="H30" s="389"/>
    </row>
    <row r="31" spans="1:8" ht="45" customHeight="1" x14ac:dyDescent="0.25">
      <c r="A31" s="133">
        <f t="shared" si="0"/>
        <v>19</v>
      </c>
      <c r="B31" s="154"/>
      <c r="C31" s="394"/>
      <c r="D31" s="395"/>
      <c r="E31" s="396"/>
      <c r="F31" s="397"/>
      <c r="G31" s="388"/>
      <c r="H31" s="389"/>
    </row>
    <row r="32" spans="1:8" ht="45" customHeight="1" x14ac:dyDescent="0.25">
      <c r="A32" s="133">
        <f t="shared" si="0"/>
        <v>20</v>
      </c>
      <c r="B32" s="154"/>
      <c r="C32" s="394"/>
      <c r="D32" s="395"/>
      <c r="E32" s="396"/>
      <c r="F32" s="397"/>
      <c r="G32" s="388"/>
      <c r="H32" s="389"/>
    </row>
    <row r="33" spans="1:8" ht="45" customHeight="1" x14ac:dyDescent="0.25">
      <c r="A33" s="133">
        <f t="shared" si="0"/>
        <v>21</v>
      </c>
      <c r="B33" s="154"/>
      <c r="C33" s="394"/>
      <c r="D33" s="395"/>
      <c r="E33" s="396"/>
      <c r="F33" s="397"/>
      <c r="G33" s="388"/>
      <c r="H33" s="389"/>
    </row>
    <row r="34" spans="1:8" ht="45" customHeight="1" x14ac:dyDescent="0.25">
      <c r="A34" s="133">
        <f t="shared" si="0"/>
        <v>22</v>
      </c>
      <c r="B34" s="154"/>
      <c r="C34" s="394"/>
      <c r="D34" s="395"/>
      <c r="E34" s="396"/>
      <c r="F34" s="397"/>
      <c r="G34" s="388"/>
      <c r="H34" s="389"/>
    </row>
    <row r="35" spans="1:8" ht="45" customHeight="1" x14ac:dyDescent="0.25">
      <c r="A35" s="133">
        <f t="shared" si="0"/>
        <v>23</v>
      </c>
      <c r="B35" s="154"/>
      <c r="C35" s="394"/>
      <c r="D35" s="395"/>
      <c r="E35" s="396"/>
      <c r="F35" s="397"/>
      <c r="G35" s="388"/>
      <c r="H35" s="389"/>
    </row>
    <row r="36" spans="1:8" ht="45" customHeight="1" x14ac:dyDescent="0.25">
      <c r="A36" s="133">
        <f t="shared" si="0"/>
        <v>24</v>
      </c>
      <c r="B36" s="154"/>
      <c r="C36" s="394"/>
      <c r="D36" s="395"/>
      <c r="E36" s="396"/>
      <c r="F36" s="397"/>
      <c r="G36" s="388"/>
      <c r="H36" s="389"/>
    </row>
    <row r="37" spans="1:8" ht="45" customHeight="1" x14ac:dyDescent="0.25">
      <c r="A37" s="133">
        <f t="shared" si="0"/>
        <v>25</v>
      </c>
      <c r="B37" s="154"/>
      <c r="C37" s="394"/>
      <c r="D37" s="395"/>
      <c r="E37" s="396"/>
      <c r="F37" s="397"/>
      <c r="G37" s="388"/>
      <c r="H37" s="389"/>
    </row>
    <row r="38" spans="1:8" ht="45" customHeight="1" x14ac:dyDescent="0.25">
      <c r="A38" s="133">
        <f t="shared" si="0"/>
        <v>26</v>
      </c>
      <c r="B38" s="154"/>
      <c r="C38" s="394"/>
      <c r="D38" s="395"/>
      <c r="E38" s="396"/>
      <c r="F38" s="397"/>
      <c r="G38" s="388"/>
      <c r="H38" s="389"/>
    </row>
    <row r="39" spans="1:8" ht="45" customHeight="1" x14ac:dyDescent="0.25">
      <c r="A39" s="133">
        <f t="shared" si="0"/>
        <v>27</v>
      </c>
      <c r="B39" s="154"/>
      <c r="C39" s="394"/>
      <c r="D39" s="395"/>
      <c r="E39" s="396"/>
      <c r="F39" s="397"/>
      <c r="G39" s="388"/>
      <c r="H39" s="389"/>
    </row>
    <row r="40" spans="1:8" ht="45" customHeight="1" x14ac:dyDescent="0.25">
      <c r="A40" s="133">
        <f t="shared" si="0"/>
        <v>28</v>
      </c>
      <c r="B40" s="154"/>
      <c r="C40" s="394"/>
      <c r="D40" s="395"/>
      <c r="E40" s="396"/>
      <c r="F40" s="397"/>
      <c r="G40" s="388"/>
      <c r="H40" s="389"/>
    </row>
    <row r="41" spans="1:8" ht="45" customHeight="1" x14ac:dyDescent="0.25">
      <c r="A41" s="133">
        <f t="shared" si="0"/>
        <v>29</v>
      </c>
      <c r="B41" s="154"/>
      <c r="C41" s="394"/>
      <c r="D41" s="395"/>
      <c r="E41" s="396"/>
      <c r="F41" s="397"/>
      <c r="G41" s="388"/>
      <c r="H41" s="389"/>
    </row>
    <row r="42" spans="1:8" ht="45" customHeight="1" x14ac:dyDescent="0.25">
      <c r="A42" s="133">
        <f t="shared" si="0"/>
        <v>30</v>
      </c>
      <c r="B42" s="154"/>
      <c r="C42" s="394"/>
      <c r="D42" s="395"/>
      <c r="E42" s="396"/>
      <c r="F42" s="397"/>
      <c r="G42" s="388"/>
      <c r="H42" s="389"/>
    </row>
    <row r="43" spans="1:8" ht="45" customHeight="1" x14ac:dyDescent="0.25">
      <c r="A43" s="133">
        <f t="shared" si="0"/>
        <v>31</v>
      </c>
      <c r="B43" s="154"/>
      <c r="C43" s="394"/>
      <c r="D43" s="395"/>
      <c r="E43" s="396"/>
      <c r="F43" s="397"/>
      <c r="G43" s="388"/>
      <c r="H43" s="389"/>
    </row>
    <row r="44" spans="1:8" ht="45" customHeight="1" x14ac:dyDescent="0.25">
      <c r="A44" s="133">
        <f t="shared" si="0"/>
        <v>32</v>
      </c>
      <c r="B44" s="154"/>
      <c r="C44" s="394"/>
      <c r="D44" s="395"/>
      <c r="E44" s="396"/>
      <c r="F44" s="397"/>
      <c r="G44" s="388"/>
      <c r="H44" s="389"/>
    </row>
    <row r="45" spans="1:8" ht="45" customHeight="1" x14ac:dyDescent="0.25">
      <c r="A45" s="133">
        <f t="shared" si="0"/>
        <v>33</v>
      </c>
      <c r="B45" s="154"/>
      <c r="C45" s="394"/>
      <c r="D45" s="395"/>
      <c r="E45" s="396"/>
      <c r="F45" s="397"/>
      <c r="G45" s="388"/>
      <c r="H45" s="389"/>
    </row>
    <row r="46" spans="1:8" ht="45" customHeight="1" x14ac:dyDescent="0.25">
      <c r="A46" s="133">
        <f t="shared" si="0"/>
        <v>34</v>
      </c>
      <c r="B46" s="154"/>
      <c r="C46" s="394"/>
      <c r="D46" s="395"/>
      <c r="E46" s="396"/>
      <c r="F46" s="397"/>
      <c r="G46" s="388"/>
      <c r="H46" s="389"/>
    </row>
    <row r="47" spans="1:8" ht="45" customHeight="1" x14ac:dyDescent="0.25">
      <c r="A47" s="133">
        <f t="shared" si="0"/>
        <v>35</v>
      </c>
      <c r="B47" s="154"/>
      <c r="C47" s="394"/>
      <c r="D47" s="395"/>
      <c r="E47" s="396"/>
      <c r="F47" s="397"/>
      <c r="G47" s="388"/>
      <c r="H47" s="389"/>
    </row>
    <row r="48" spans="1:8" ht="45" customHeight="1" x14ac:dyDescent="0.25">
      <c r="A48" s="133">
        <f t="shared" si="0"/>
        <v>36</v>
      </c>
      <c r="B48" s="154"/>
      <c r="C48" s="394"/>
      <c r="D48" s="395"/>
      <c r="E48" s="396"/>
      <c r="F48" s="397"/>
      <c r="G48" s="388"/>
      <c r="H48" s="389"/>
    </row>
    <row r="49" spans="1:8" ht="45" customHeight="1" x14ac:dyDescent="0.25">
      <c r="A49" s="133">
        <f t="shared" si="0"/>
        <v>37</v>
      </c>
      <c r="B49" s="154"/>
      <c r="C49" s="394"/>
      <c r="D49" s="395"/>
      <c r="E49" s="396"/>
      <c r="F49" s="397"/>
      <c r="G49" s="388"/>
      <c r="H49" s="389"/>
    </row>
    <row r="50" spans="1:8" ht="45" customHeight="1" x14ac:dyDescent="0.25">
      <c r="A50" s="133">
        <f t="shared" si="0"/>
        <v>38</v>
      </c>
      <c r="B50" s="154"/>
      <c r="C50" s="394"/>
      <c r="D50" s="395"/>
      <c r="E50" s="396"/>
      <c r="F50" s="397"/>
      <c r="G50" s="388"/>
      <c r="H50" s="389"/>
    </row>
    <row r="51" spans="1:8" ht="45" customHeight="1" x14ac:dyDescent="0.25">
      <c r="A51" s="133">
        <f t="shared" si="0"/>
        <v>39</v>
      </c>
      <c r="B51" s="154"/>
      <c r="C51" s="394"/>
      <c r="D51" s="395"/>
      <c r="E51" s="396"/>
      <c r="F51" s="397"/>
      <c r="G51" s="388"/>
      <c r="H51" s="389"/>
    </row>
    <row r="52" spans="1:8" ht="45" customHeight="1" x14ac:dyDescent="0.25">
      <c r="A52" s="133">
        <f t="shared" si="0"/>
        <v>40</v>
      </c>
      <c r="B52" s="154"/>
      <c r="C52" s="394"/>
      <c r="D52" s="395"/>
      <c r="E52" s="396"/>
      <c r="F52" s="397"/>
      <c r="G52" s="388"/>
      <c r="H52" s="389"/>
    </row>
    <row r="53" spans="1:8" ht="45" customHeight="1" x14ac:dyDescent="0.25">
      <c r="A53" s="133">
        <f t="shared" si="0"/>
        <v>41</v>
      </c>
      <c r="B53" s="154"/>
      <c r="C53" s="394"/>
      <c r="D53" s="395"/>
      <c r="E53" s="396"/>
      <c r="F53" s="397"/>
      <c r="G53" s="388"/>
      <c r="H53" s="389"/>
    </row>
    <row r="54" spans="1:8" ht="45" customHeight="1" x14ac:dyDescent="0.25">
      <c r="A54" s="133">
        <f t="shared" si="0"/>
        <v>42</v>
      </c>
      <c r="B54" s="154"/>
      <c r="C54" s="394"/>
      <c r="D54" s="395"/>
      <c r="E54" s="396"/>
      <c r="F54" s="397"/>
      <c r="G54" s="388"/>
      <c r="H54" s="389"/>
    </row>
    <row r="55" spans="1:8" ht="45" customHeight="1" x14ac:dyDescent="0.25">
      <c r="A55" s="133">
        <f t="shared" si="0"/>
        <v>43</v>
      </c>
      <c r="B55" s="154"/>
      <c r="C55" s="394"/>
      <c r="D55" s="395"/>
      <c r="E55" s="396"/>
      <c r="F55" s="397"/>
      <c r="G55" s="388"/>
      <c r="H55" s="389"/>
    </row>
    <row r="56" spans="1:8" ht="45" customHeight="1" x14ac:dyDescent="0.25">
      <c r="A56" s="133">
        <f t="shared" si="0"/>
        <v>44</v>
      </c>
      <c r="B56" s="154"/>
      <c r="C56" s="394"/>
      <c r="D56" s="395"/>
      <c r="E56" s="396"/>
      <c r="F56" s="397"/>
      <c r="G56" s="388"/>
      <c r="H56" s="389"/>
    </row>
    <row r="57" spans="1:8" ht="45" customHeight="1" x14ac:dyDescent="0.25">
      <c r="A57" s="133">
        <f t="shared" si="0"/>
        <v>45</v>
      </c>
      <c r="B57" s="154"/>
      <c r="C57" s="394"/>
      <c r="D57" s="395"/>
      <c r="E57" s="396"/>
      <c r="F57" s="397"/>
      <c r="G57" s="388"/>
      <c r="H57" s="389"/>
    </row>
    <row r="58" spans="1:8" ht="45" customHeight="1" x14ac:dyDescent="0.25">
      <c r="A58" s="133">
        <f t="shared" si="0"/>
        <v>46</v>
      </c>
      <c r="B58" s="154"/>
      <c r="C58" s="394"/>
      <c r="D58" s="395"/>
      <c r="E58" s="396"/>
      <c r="F58" s="397"/>
      <c r="G58" s="388"/>
      <c r="H58" s="389"/>
    </row>
    <row r="59" spans="1:8" ht="45" customHeight="1" x14ac:dyDescent="0.25">
      <c r="A59" s="133">
        <f t="shared" si="0"/>
        <v>47</v>
      </c>
      <c r="B59" s="154"/>
      <c r="C59" s="394"/>
      <c r="D59" s="395"/>
      <c r="E59" s="396"/>
      <c r="F59" s="397"/>
      <c r="G59" s="388"/>
      <c r="H59" s="389"/>
    </row>
    <row r="60" spans="1:8" ht="45" customHeight="1" x14ac:dyDescent="0.25">
      <c r="A60" s="133">
        <f t="shared" si="0"/>
        <v>48</v>
      </c>
      <c r="B60" s="154"/>
      <c r="C60" s="394"/>
      <c r="D60" s="395"/>
      <c r="E60" s="396"/>
      <c r="F60" s="397"/>
      <c r="G60" s="388"/>
      <c r="H60" s="389"/>
    </row>
    <row r="61" spans="1:8" ht="45" customHeight="1" x14ac:dyDescent="0.25">
      <c r="A61" s="133">
        <f t="shared" si="0"/>
        <v>49</v>
      </c>
      <c r="B61" s="154"/>
      <c r="C61" s="394"/>
      <c r="D61" s="395"/>
      <c r="E61" s="396"/>
      <c r="F61" s="397"/>
      <c r="G61" s="388"/>
      <c r="H61" s="389"/>
    </row>
    <row r="62" spans="1:8" ht="45" customHeight="1" x14ac:dyDescent="0.25">
      <c r="A62" s="133">
        <f t="shared" si="0"/>
        <v>50</v>
      </c>
      <c r="B62" s="154"/>
      <c r="C62" s="394"/>
      <c r="D62" s="395"/>
      <c r="E62" s="396"/>
      <c r="F62" s="397"/>
      <c r="G62" s="388"/>
      <c r="H62" s="389"/>
    </row>
    <row r="63" spans="1:8" ht="45" customHeight="1" x14ac:dyDescent="0.25">
      <c r="A63" s="133">
        <f t="shared" si="0"/>
        <v>51</v>
      </c>
      <c r="B63" s="154"/>
      <c r="C63" s="394"/>
      <c r="D63" s="395"/>
      <c r="E63" s="396"/>
      <c r="F63" s="397"/>
      <c r="G63" s="388"/>
      <c r="H63" s="389"/>
    </row>
    <row r="64" spans="1:8" ht="45" customHeight="1" x14ac:dyDescent="0.25">
      <c r="A64" s="133">
        <f t="shared" si="0"/>
        <v>52</v>
      </c>
      <c r="B64" s="154"/>
      <c r="C64" s="394"/>
      <c r="D64" s="395"/>
      <c r="E64" s="396"/>
      <c r="F64" s="397"/>
      <c r="G64" s="388"/>
      <c r="H64" s="389"/>
    </row>
    <row r="65" spans="1:8" ht="45" customHeight="1" x14ac:dyDescent="0.25">
      <c r="A65" s="133">
        <f t="shared" si="0"/>
        <v>53</v>
      </c>
      <c r="B65" s="154"/>
      <c r="C65" s="394"/>
      <c r="D65" s="395"/>
      <c r="E65" s="396"/>
      <c r="F65" s="397"/>
      <c r="G65" s="388"/>
      <c r="H65" s="389"/>
    </row>
    <row r="66" spans="1:8" ht="45" customHeight="1" x14ac:dyDescent="0.25">
      <c r="A66" s="133">
        <f t="shared" si="0"/>
        <v>54</v>
      </c>
      <c r="B66" s="154"/>
      <c r="C66" s="394"/>
      <c r="D66" s="395"/>
      <c r="E66" s="396"/>
      <c r="F66" s="397"/>
      <c r="G66" s="388"/>
      <c r="H66" s="389"/>
    </row>
    <row r="67" spans="1:8" ht="45" customHeight="1" x14ac:dyDescent="0.25">
      <c r="A67" s="133">
        <f t="shared" si="0"/>
        <v>55</v>
      </c>
      <c r="B67" s="154"/>
      <c r="C67" s="394"/>
      <c r="D67" s="395"/>
      <c r="E67" s="396"/>
      <c r="F67" s="397"/>
      <c r="G67" s="388"/>
      <c r="H67" s="389"/>
    </row>
    <row r="68" spans="1:8" ht="45" customHeight="1" x14ac:dyDescent="0.25">
      <c r="A68" s="133">
        <f t="shared" si="0"/>
        <v>56</v>
      </c>
      <c r="B68" s="154"/>
      <c r="C68" s="394"/>
      <c r="D68" s="395"/>
      <c r="E68" s="396"/>
      <c r="F68" s="397"/>
      <c r="G68" s="388"/>
      <c r="H68" s="389"/>
    </row>
    <row r="69" spans="1:8" ht="45" customHeight="1" x14ac:dyDescent="0.25">
      <c r="A69" s="133">
        <f t="shared" si="0"/>
        <v>57</v>
      </c>
      <c r="B69" s="154"/>
      <c r="C69" s="394"/>
      <c r="D69" s="395"/>
      <c r="E69" s="396"/>
      <c r="F69" s="397"/>
      <c r="G69" s="388"/>
      <c r="H69" s="389"/>
    </row>
    <row r="70" spans="1:8" ht="45" customHeight="1" x14ac:dyDescent="0.25">
      <c r="A70" s="133">
        <f t="shared" si="0"/>
        <v>58</v>
      </c>
      <c r="B70" s="154"/>
      <c r="C70" s="394"/>
      <c r="D70" s="395"/>
      <c r="E70" s="396"/>
      <c r="F70" s="397"/>
      <c r="G70" s="388"/>
      <c r="H70" s="389"/>
    </row>
    <row r="71" spans="1:8" ht="45" customHeight="1" x14ac:dyDescent="0.25">
      <c r="A71" s="133">
        <f t="shared" si="0"/>
        <v>59</v>
      </c>
      <c r="B71" s="154"/>
      <c r="C71" s="394"/>
      <c r="D71" s="395"/>
      <c r="E71" s="396"/>
      <c r="F71" s="397"/>
      <c r="G71" s="388"/>
      <c r="H71" s="389"/>
    </row>
    <row r="72" spans="1:8" ht="45" customHeight="1" x14ac:dyDescent="0.25">
      <c r="A72" s="133">
        <f t="shared" si="0"/>
        <v>60</v>
      </c>
      <c r="B72" s="154"/>
      <c r="C72" s="394"/>
      <c r="D72" s="395"/>
      <c r="E72" s="396"/>
      <c r="F72" s="397"/>
      <c r="G72" s="388"/>
      <c r="H72" s="389"/>
    </row>
    <row r="73" spans="1:8" ht="45" customHeight="1" x14ac:dyDescent="0.25">
      <c r="A73" s="133">
        <f t="shared" si="0"/>
        <v>61</v>
      </c>
      <c r="B73" s="154"/>
      <c r="C73" s="394"/>
      <c r="D73" s="395"/>
      <c r="E73" s="396"/>
      <c r="F73" s="397"/>
      <c r="G73" s="388"/>
      <c r="H73" s="389"/>
    </row>
    <row r="74" spans="1:8" ht="45" customHeight="1" x14ac:dyDescent="0.25">
      <c r="A74" s="133">
        <f t="shared" si="0"/>
        <v>62</v>
      </c>
      <c r="B74" s="154"/>
      <c r="C74" s="394"/>
      <c r="D74" s="395"/>
      <c r="E74" s="396"/>
      <c r="F74" s="397"/>
      <c r="G74" s="388"/>
      <c r="H74" s="389"/>
    </row>
    <row r="75" spans="1:8" ht="45" customHeight="1" x14ac:dyDescent="0.25">
      <c r="A75" s="133">
        <f t="shared" si="0"/>
        <v>63</v>
      </c>
      <c r="B75" s="154"/>
      <c r="C75" s="394"/>
      <c r="D75" s="395"/>
      <c r="E75" s="396"/>
      <c r="F75" s="397"/>
      <c r="G75" s="388"/>
      <c r="H75" s="389"/>
    </row>
    <row r="76" spans="1:8" ht="45" customHeight="1" x14ac:dyDescent="0.25">
      <c r="A76" s="133">
        <f t="shared" si="0"/>
        <v>64</v>
      </c>
      <c r="B76" s="154"/>
      <c r="C76" s="394"/>
      <c r="D76" s="395"/>
      <c r="E76" s="396"/>
      <c r="F76" s="397"/>
      <c r="G76" s="388"/>
      <c r="H76" s="389"/>
    </row>
    <row r="77" spans="1:8" ht="45" customHeight="1" x14ac:dyDescent="0.25">
      <c r="A77" s="133">
        <f t="shared" si="0"/>
        <v>65</v>
      </c>
      <c r="B77" s="154"/>
      <c r="C77" s="394"/>
      <c r="D77" s="395"/>
      <c r="E77" s="396"/>
      <c r="F77" s="397"/>
      <c r="G77" s="388"/>
      <c r="H77" s="389"/>
    </row>
    <row r="78" spans="1:8" ht="45" customHeight="1" x14ac:dyDescent="0.25">
      <c r="A78" s="133">
        <f t="shared" ref="A78:A141" si="1">ROW(A66)</f>
        <v>66</v>
      </c>
      <c r="B78" s="154"/>
      <c r="C78" s="394"/>
      <c r="D78" s="395"/>
      <c r="E78" s="396"/>
      <c r="F78" s="397"/>
      <c r="G78" s="388"/>
      <c r="H78" s="389"/>
    </row>
    <row r="79" spans="1:8" ht="45" customHeight="1" x14ac:dyDescent="0.25">
      <c r="A79" s="133">
        <f t="shared" si="1"/>
        <v>67</v>
      </c>
      <c r="B79" s="154"/>
      <c r="C79" s="394"/>
      <c r="D79" s="395"/>
      <c r="E79" s="396"/>
      <c r="F79" s="397"/>
      <c r="G79" s="388"/>
      <c r="H79" s="389"/>
    </row>
    <row r="80" spans="1:8" ht="45" customHeight="1" x14ac:dyDescent="0.25">
      <c r="A80" s="133">
        <f t="shared" si="1"/>
        <v>68</v>
      </c>
      <c r="B80" s="154"/>
      <c r="C80" s="394"/>
      <c r="D80" s="395"/>
      <c r="E80" s="396"/>
      <c r="F80" s="397"/>
      <c r="G80" s="388"/>
      <c r="H80" s="389"/>
    </row>
    <row r="81" spans="1:8" ht="45" customHeight="1" x14ac:dyDescent="0.25">
      <c r="A81" s="133">
        <f t="shared" si="1"/>
        <v>69</v>
      </c>
      <c r="B81" s="154"/>
      <c r="C81" s="394"/>
      <c r="D81" s="395"/>
      <c r="E81" s="396"/>
      <c r="F81" s="397"/>
      <c r="G81" s="388"/>
      <c r="H81" s="389"/>
    </row>
    <row r="82" spans="1:8" ht="45" customHeight="1" x14ac:dyDescent="0.25">
      <c r="A82" s="133">
        <f t="shared" si="1"/>
        <v>70</v>
      </c>
      <c r="B82" s="154"/>
      <c r="C82" s="394"/>
      <c r="D82" s="395"/>
      <c r="E82" s="396"/>
      <c r="F82" s="397"/>
      <c r="G82" s="388"/>
      <c r="H82" s="389"/>
    </row>
    <row r="83" spans="1:8" ht="45" customHeight="1" x14ac:dyDescent="0.25">
      <c r="A83" s="133">
        <f t="shared" si="1"/>
        <v>71</v>
      </c>
      <c r="B83" s="154"/>
      <c r="C83" s="394"/>
      <c r="D83" s="395"/>
      <c r="E83" s="396"/>
      <c r="F83" s="397"/>
      <c r="G83" s="388"/>
      <c r="H83" s="389"/>
    </row>
    <row r="84" spans="1:8" ht="45" customHeight="1" x14ac:dyDescent="0.25">
      <c r="A84" s="133">
        <f t="shared" si="1"/>
        <v>72</v>
      </c>
      <c r="B84" s="154"/>
      <c r="C84" s="394"/>
      <c r="D84" s="395"/>
      <c r="E84" s="396"/>
      <c r="F84" s="397"/>
      <c r="G84" s="388"/>
      <c r="H84" s="389"/>
    </row>
    <row r="85" spans="1:8" ht="45" customHeight="1" x14ac:dyDescent="0.25">
      <c r="A85" s="133">
        <f t="shared" si="1"/>
        <v>73</v>
      </c>
      <c r="B85" s="154"/>
      <c r="C85" s="394"/>
      <c r="D85" s="395"/>
      <c r="E85" s="396"/>
      <c r="F85" s="397"/>
      <c r="G85" s="388"/>
      <c r="H85" s="389"/>
    </row>
    <row r="86" spans="1:8" ht="45" customHeight="1" x14ac:dyDescent="0.25">
      <c r="A86" s="133">
        <f t="shared" si="1"/>
        <v>74</v>
      </c>
      <c r="B86" s="154"/>
      <c r="C86" s="394"/>
      <c r="D86" s="395"/>
      <c r="E86" s="396"/>
      <c r="F86" s="397"/>
      <c r="G86" s="388"/>
      <c r="H86" s="389"/>
    </row>
    <row r="87" spans="1:8" ht="45" customHeight="1" x14ac:dyDescent="0.25">
      <c r="A87" s="133">
        <f t="shared" si="1"/>
        <v>75</v>
      </c>
      <c r="B87" s="154"/>
      <c r="C87" s="394"/>
      <c r="D87" s="395"/>
      <c r="E87" s="396"/>
      <c r="F87" s="397"/>
      <c r="G87" s="388"/>
      <c r="H87" s="389"/>
    </row>
    <row r="88" spans="1:8" ht="45" customHeight="1" x14ac:dyDescent="0.25">
      <c r="A88" s="133">
        <f t="shared" si="1"/>
        <v>76</v>
      </c>
      <c r="B88" s="154"/>
      <c r="C88" s="394"/>
      <c r="D88" s="395"/>
      <c r="E88" s="396"/>
      <c r="F88" s="397"/>
      <c r="G88" s="388"/>
      <c r="H88" s="389"/>
    </row>
    <row r="89" spans="1:8" ht="45" customHeight="1" x14ac:dyDescent="0.25">
      <c r="A89" s="133">
        <f t="shared" si="1"/>
        <v>77</v>
      </c>
      <c r="B89" s="154"/>
      <c r="C89" s="394"/>
      <c r="D89" s="395"/>
      <c r="E89" s="396"/>
      <c r="F89" s="397"/>
      <c r="G89" s="388"/>
      <c r="H89" s="389"/>
    </row>
    <row r="90" spans="1:8" ht="45" customHeight="1" x14ac:dyDescent="0.25">
      <c r="A90" s="133">
        <f t="shared" si="1"/>
        <v>78</v>
      </c>
      <c r="B90" s="154"/>
      <c r="C90" s="394"/>
      <c r="D90" s="395"/>
      <c r="E90" s="396"/>
      <c r="F90" s="397"/>
      <c r="G90" s="388"/>
      <c r="H90" s="389"/>
    </row>
    <row r="91" spans="1:8" ht="45" customHeight="1" x14ac:dyDescent="0.25">
      <c r="A91" s="133">
        <f t="shared" si="1"/>
        <v>79</v>
      </c>
      <c r="B91" s="154"/>
      <c r="C91" s="394"/>
      <c r="D91" s="395"/>
      <c r="E91" s="396"/>
      <c r="F91" s="397"/>
      <c r="G91" s="388"/>
      <c r="H91" s="389"/>
    </row>
    <row r="92" spans="1:8" ht="45" customHeight="1" x14ac:dyDescent="0.25">
      <c r="A92" s="133">
        <f t="shared" si="1"/>
        <v>80</v>
      </c>
      <c r="B92" s="154"/>
      <c r="C92" s="394"/>
      <c r="D92" s="395"/>
      <c r="E92" s="396"/>
      <c r="F92" s="397"/>
      <c r="G92" s="388"/>
      <c r="H92" s="389"/>
    </row>
    <row r="93" spans="1:8" ht="45" customHeight="1" x14ac:dyDescent="0.25">
      <c r="A93" s="133">
        <f t="shared" si="1"/>
        <v>81</v>
      </c>
      <c r="B93" s="154"/>
      <c r="C93" s="394"/>
      <c r="D93" s="395"/>
      <c r="E93" s="396"/>
      <c r="F93" s="397"/>
      <c r="G93" s="388"/>
      <c r="H93" s="389"/>
    </row>
    <row r="94" spans="1:8" ht="45" customHeight="1" x14ac:dyDescent="0.25">
      <c r="A94" s="133">
        <f t="shared" si="1"/>
        <v>82</v>
      </c>
      <c r="B94" s="154"/>
      <c r="C94" s="394"/>
      <c r="D94" s="395"/>
      <c r="E94" s="396"/>
      <c r="F94" s="397"/>
      <c r="G94" s="388"/>
      <c r="H94" s="389"/>
    </row>
    <row r="95" spans="1:8" ht="45" customHeight="1" x14ac:dyDescent="0.25">
      <c r="A95" s="133">
        <f t="shared" si="1"/>
        <v>83</v>
      </c>
      <c r="B95" s="154"/>
      <c r="C95" s="394"/>
      <c r="D95" s="395"/>
      <c r="E95" s="396"/>
      <c r="F95" s="397"/>
      <c r="G95" s="388"/>
      <c r="H95" s="389"/>
    </row>
    <row r="96" spans="1:8" ht="45" customHeight="1" x14ac:dyDescent="0.25">
      <c r="A96" s="133">
        <f t="shared" si="1"/>
        <v>84</v>
      </c>
      <c r="B96" s="154"/>
      <c r="C96" s="394"/>
      <c r="D96" s="395"/>
      <c r="E96" s="396"/>
      <c r="F96" s="397"/>
      <c r="G96" s="388"/>
      <c r="H96" s="389"/>
    </row>
    <row r="97" spans="1:8" ht="45" customHeight="1" x14ac:dyDescent="0.25">
      <c r="A97" s="133">
        <f t="shared" si="1"/>
        <v>85</v>
      </c>
      <c r="B97" s="154"/>
      <c r="C97" s="394"/>
      <c r="D97" s="395"/>
      <c r="E97" s="396"/>
      <c r="F97" s="397"/>
      <c r="G97" s="388"/>
      <c r="H97" s="389"/>
    </row>
    <row r="98" spans="1:8" ht="45" customHeight="1" x14ac:dyDescent="0.25">
      <c r="A98" s="133">
        <f t="shared" si="1"/>
        <v>86</v>
      </c>
      <c r="B98" s="154"/>
      <c r="C98" s="394"/>
      <c r="D98" s="395"/>
      <c r="E98" s="396"/>
      <c r="F98" s="397"/>
      <c r="G98" s="388"/>
      <c r="H98" s="389"/>
    </row>
    <row r="99" spans="1:8" ht="45" customHeight="1" x14ac:dyDescent="0.25">
      <c r="A99" s="133">
        <f t="shared" si="1"/>
        <v>87</v>
      </c>
      <c r="B99" s="154"/>
      <c r="C99" s="394"/>
      <c r="D99" s="395"/>
      <c r="E99" s="396"/>
      <c r="F99" s="397"/>
      <c r="G99" s="388"/>
      <c r="H99" s="389"/>
    </row>
    <row r="100" spans="1:8" ht="45" customHeight="1" x14ac:dyDescent="0.25">
      <c r="A100" s="133">
        <f t="shared" si="1"/>
        <v>88</v>
      </c>
      <c r="B100" s="154"/>
      <c r="C100" s="394"/>
      <c r="D100" s="395"/>
      <c r="E100" s="396"/>
      <c r="F100" s="397"/>
      <c r="G100" s="388"/>
      <c r="H100" s="389"/>
    </row>
    <row r="101" spans="1:8" ht="45" customHeight="1" x14ac:dyDescent="0.25">
      <c r="A101" s="133">
        <f t="shared" si="1"/>
        <v>89</v>
      </c>
      <c r="B101" s="154"/>
      <c r="C101" s="394"/>
      <c r="D101" s="395"/>
      <c r="E101" s="396"/>
      <c r="F101" s="397"/>
      <c r="G101" s="388"/>
      <c r="H101" s="389"/>
    </row>
    <row r="102" spans="1:8" ht="45" customHeight="1" x14ac:dyDescent="0.25">
      <c r="A102" s="133">
        <f t="shared" si="1"/>
        <v>90</v>
      </c>
      <c r="B102" s="154"/>
      <c r="C102" s="394"/>
      <c r="D102" s="395"/>
      <c r="E102" s="396"/>
      <c r="F102" s="397"/>
      <c r="G102" s="388"/>
      <c r="H102" s="389"/>
    </row>
    <row r="103" spans="1:8" ht="45" customHeight="1" x14ac:dyDescent="0.25">
      <c r="A103" s="133">
        <f t="shared" si="1"/>
        <v>91</v>
      </c>
      <c r="B103" s="154"/>
      <c r="C103" s="394"/>
      <c r="D103" s="395"/>
      <c r="E103" s="396"/>
      <c r="F103" s="397"/>
      <c r="G103" s="388"/>
      <c r="H103" s="389"/>
    </row>
    <row r="104" spans="1:8" ht="45" customHeight="1" x14ac:dyDescent="0.25">
      <c r="A104" s="133">
        <f t="shared" si="1"/>
        <v>92</v>
      </c>
      <c r="B104" s="154"/>
      <c r="C104" s="394"/>
      <c r="D104" s="395"/>
      <c r="E104" s="396"/>
      <c r="F104" s="397"/>
      <c r="G104" s="388"/>
      <c r="H104" s="389"/>
    </row>
    <row r="105" spans="1:8" ht="45" customHeight="1" x14ac:dyDescent="0.25">
      <c r="A105" s="133">
        <f t="shared" si="1"/>
        <v>93</v>
      </c>
      <c r="B105" s="154"/>
      <c r="C105" s="394"/>
      <c r="D105" s="395"/>
      <c r="E105" s="396"/>
      <c r="F105" s="397"/>
      <c r="G105" s="388"/>
      <c r="H105" s="389"/>
    </row>
    <row r="106" spans="1:8" ht="45" customHeight="1" x14ac:dyDescent="0.25">
      <c r="A106" s="133">
        <f t="shared" si="1"/>
        <v>94</v>
      </c>
      <c r="B106" s="154"/>
      <c r="C106" s="394"/>
      <c r="D106" s="395"/>
      <c r="E106" s="396"/>
      <c r="F106" s="397"/>
      <c r="G106" s="388"/>
      <c r="H106" s="389"/>
    </row>
    <row r="107" spans="1:8" ht="45" customHeight="1" x14ac:dyDescent="0.25">
      <c r="A107" s="133">
        <f t="shared" si="1"/>
        <v>95</v>
      </c>
      <c r="B107" s="154"/>
      <c r="C107" s="394"/>
      <c r="D107" s="395"/>
      <c r="E107" s="396"/>
      <c r="F107" s="397"/>
      <c r="G107" s="388"/>
      <c r="H107" s="389"/>
    </row>
    <row r="108" spans="1:8" ht="45" customHeight="1" x14ac:dyDescent="0.25">
      <c r="A108" s="133">
        <f t="shared" si="1"/>
        <v>96</v>
      </c>
      <c r="B108" s="154"/>
      <c r="C108" s="394"/>
      <c r="D108" s="395"/>
      <c r="E108" s="396"/>
      <c r="F108" s="397"/>
      <c r="G108" s="388"/>
      <c r="H108" s="389"/>
    </row>
    <row r="109" spans="1:8" ht="45" customHeight="1" x14ac:dyDescent="0.25">
      <c r="A109" s="133">
        <f t="shared" si="1"/>
        <v>97</v>
      </c>
      <c r="B109" s="154"/>
      <c r="C109" s="394"/>
      <c r="D109" s="395"/>
      <c r="E109" s="396"/>
      <c r="F109" s="397"/>
      <c r="G109" s="388"/>
      <c r="H109" s="389"/>
    </row>
    <row r="110" spans="1:8" ht="45" customHeight="1" x14ac:dyDescent="0.25">
      <c r="A110" s="133">
        <f t="shared" si="1"/>
        <v>98</v>
      </c>
      <c r="B110" s="154"/>
      <c r="C110" s="394"/>
      <c r="D110" s="395"/>
      <c r="E110" s="396"/>
      <c r="F110" s="397"/>
      <c r="G110" s="388"/>
      <c r="H110" s="389"/>
    </row>
    <row r="111" spans="1:8" ht="45" customHeight="1" x14ac:dyDescent="0.25">
      <c r="A111" s="133">
        <f t="shared" si="1"/>
        <v>99</v>
      </c>
      <c r="B111" s="154"/>
      <c r="C111" s="394"/>
      <c r="D111" s="395"/>
      <c r="E111" s="396"/>
      <c r="F111" s="397"/>
      <c r="G111" s="388"/>
      <c r="H111" s="389"/>
    </row>
    <row r="112" spans="1:8" ht="45" customHeight="1" x14ac:dyDescent="0.25">
      <c r="A112" s="133">
        <f t="shared" si="1"/>
        <v>100</v>
      </c>
      <c r="B112" s="154"/>
      <c r="C112" s="394"/>
      <c r="D112" s="395"/>
      <c r="E112" s="396"/>
      <c r="F112" s="397"/>
      <c r="G112" s="388"/>
      <c r="H112" s="389"/>
    </row>
    <row r="113" spans="1:8" ht="45" customHeight="1" x14ac:dyDescent="0.25">
      <c r="A113" s="133">
        <f t="shared" si="1"/>
        <v>101</v>
      </c>
      <c r="B113" s="154"/>
      <c r="C113" s="394"/>
      <c r="D113" s="395"/>
      <c r="E113" s="396"/>
      <c r="F113" s="397"/>
      <c r="G113" s="388"/>
      <c r="H113" s="389"/>
    </row>
    <row r="114" spans="1:8" ht="45" customHeight="1" x14ac:dyDescent="0.25">
      <c r="A114" s="133">
        <f t="shared" si="1"/>
        <v>102</v>
      </c>
      <c r="B114" s="154"/>
      <c r="C114" s="394"/>
      <c r="D114" s="395"/>
      <c r="E114" s="396"/>
      <c r="F114" s="397"/>
      <c r="G114" s="388"/>
      <c r="H114" s="389"/>
    </row>
    <row r="115" spans="1:8" ht="45" customHeight="1" x14ac:dyDescent="0.25">
      <c r="A115" s="133">
        <f t="shared" si="1"/>
        <v>103</v>
      </c>
      <c r="B115" s="154"/>
      <c r="C115" s="394"/>
      <c r="D115" s="395"/>
      <c r="E115" s="396"/>
      <c r="F115" s="397"/>
      <c r="G115" s="388"/>
      <c r="H115" s="389"/>
    </row>
    <row r="116" spans="1:8" ht="45" customHeight="1" x14ac:dyDescent="0.25">
      <c r="A116" s="133">
        <f t="shared" si="1"/>
        <v>104</v>
      </c>
      <c r="B116" s="154"/>
      <c r="C116" s="394"/>
      <c r="D116" s="395"/>
      <c r="E116" s="396"/>
      <c r="F116" s="397"/>
      <c r="G116" s="388"/>
      <c r="H116" s="389"/>
    </row>
    <row r="117" spans="1:8" ht="45" customHeight="1" x14ac:dyDescent="0.25">
      <c r="A117" s="133">
        <f t="shared" si="1"/>
        <v>105</v>
      </c>
      <c r="B117" s="154"/>
      <c r="C117" s="394"/>
      <c r="D117" s="395"/>
      <c r="E117" s="396"/>
      <c r="F117" s="397"/>
      <c r="G117" s="388"/>
      <c r="H117" s="389"/>
    </row>
    <row r="118" spans="1:8" ht="45" customHeight="1" x14ac:dyDescent="0.25">
      <c r="A118" s="133">
        <f t="shared" si="1"/>
        <v>106</v>
      </c>
      <c r="B118" s="154"/>
      <c r="C118" s="394"/>
      <c r="D118" s="395"/>
      <c r="E118" s="396"/>
      <c r="F118" s="397"/>
      <c r="G118" s="388"/>
      <c r="H118" s="389"/>
    </row>
    <row r="119" spans="1:8" ht="45" customHeight="1" x14ac:dyDescent="0.25">
      <c r="A119" s="133">
        <f t="shared" si="1"/>
        <v>107</v>
      </c>
      <c r="B119" s="154"/>
      <c r="C119" s="394"/>
      <c r="D119" s="395"/>
      <c r="E119" s="396"/>
      <c r="F119" s="397"/>
      <c r="G119" s="388"/>
      <c r="H119" s="389"/>
    </row>
    <row r="120" spans="1:8" ht="45" customHeight="1" x14ac:dyDescent="0.25">
      <c r="A120" s="133">
        <f t="shared" si="1"/>
        <v>108</v>
      </c>
      <c r="B120" s="154"/>
      <c r="C120" s="394"/>
      <c r="D120" s="395"/>
      <c r="E120" s="396"/>
      <c r="F120" s="397"/>
      <c r="G120" s="388"/>
      <c r="H120" s="389"/>
    </row>
    <row r="121" spans="1:8" ht="45" customHeight="1" x14ac:dyDescent="0.25">
      <c r="A121" s="133">
        <f t="shared" si="1"/>
        <v>109</v>
      </c>
      <c r="B121" s="154"/>
      <c r="C121" s="394"/>
      <c r="D121" s="395"/>
      <c r="E121" s="396"/>
      <c r="F121" s="397"/>
      <c r="G121" s="388"/>
      <c r="H121" s="389"/>
    </row>
    <row r="122" spans="1:8" ht="45" customHeight="1" x14ac:dyDescent="0.25">
      <c r="A122" s="133">
        <f t="shared" si="1"/>
        <v>110</v>
      </c>
      <c r="B122" s="154"/>
      <c r="C122" s="394"/>
      <c r="D122" s="395"/>
      <c r="E122" s="396"/>
      <c r="F122" s="397"/>
      <c r="G122" s="388"/>
      <c r="H122" s="389"/>
    </row>
    <row r="123" spans="1:8" ht="45" customHeight="1" x14ac:dyDescent="0.25">
      <c r="A123" s="133">
        <f t="shared" si="1"/>
        <v>111</v>
      </c>
      <c r="B123" s="154"/>
      <c r="C123" s="394"/>
      <c r="D123" s="395"/>
      <c r="E123" s="396"/>
      <c r="F123" s="397"/>
      <c r="G123" s="388"/>
      <c r="H123" s="389"/>
    </row>
    <row r="124" spans="1:8" ht="45" customHeight="1" x14ac:dyDescent="0.25">
      <c r="A124" s="133">
        <f t="shared" si="1"/>
        <v>112</v>
      </c>
      <c r="B124" s="154"/>
      <c r="C124" s="394"/>
      <c r="D124" s="395"/>
      <c r="E124" s="396"/>
      <c r="F124" s="397"/>
      <c r="G124" s="388"/>
      <c r="H124" s="389"/>
    </row>
    <row r="125" spans="1:8" ht="45" customHeight="1" x14ac:dyDescent="0.25">
      <c r="A125" s="133">
        <f t="shared" si="1"/>
        <v>113</v>
      </c>
      <c r="B125" s="154"/>
      <c r="C125" s="394"/>
      <c r="D125" s="395"/>
      <c r="E125" s="396"/>
      <c r="F125" s="397"/>
      <c r="G125" s="388"/>
      <c r="H125" s="389"/>
    </row>
    <row r="126" spans="1:8" ht="45" customHeight="1" x14ac:dyDescent="0.25">
      <c r="A126" s="133">
        <f t="shared" si="1"/>
        <v>114</v>
      </c>
      <c r="B126" s="154"/>
      <c r="C126" s="394"/>
      <c r="D126" s="395"/>
      <c r="E126" s="396"/>
      <c r="F126" s="397"/>
      <c r="G126" s="388"/>
      <c r="H126" s="389"/>
    </row>
    <row r="127" spans="1:8" ht="45" customHeight="1" x14ac:dyDescent="0.25">
      <c r="A127" s="133">
        <f t="shared" si="1"/>
        <v>115</v>
      </c>
      <c r="B127" s="154"/>
      <c r="C127" s="394"/>
      <c r="D127" s="395"/>
      <c r="E127" s="396"/>
      <c r="F127" s="397"/>
      <c r="G127" s="388"/>
      <c r="H127" s="389"/>
    </row>
    <row r="128" spans="1:8" ht="45" customHeight="1" x14ac:dyDescent="0.25">
      <c r="A128" s="133">
        <f t="shared" si="1"/>
        <v>116</v>
      </c>
      <c r="B128" s="154"/>
      <c r="C128" s="394"/>
      <c r="D128" s="395"/>
      <c r="E128" s="396"/>
      <c r="F128" s="397"/>
      <c r="G128" s="388"/>
      <c r="H128" s="389"/>
    </row>
    <row r="129" spans="1:8" ht="45" customHeight="1" x14ac:dyDescent="0.25">
      <c r="A129" s="133">
        <f t="shared" si="1"/>
        <v>117</v>
      </c>
      <c r="B129" s="154"/>
      <c r="C129" s="394"/>
      <c r="D129" s="395"/>
      <c r="E129" s="396"/>
      <c r="F129" s="397"/>
      <c r="G129" s="388"/>
      <c r="H129" s="389"/>
    </row>
    <row r="130" spans="1:8" ht="45" customHeight="1" x14ac:dyDescent="0.25">
      <c r="A130" s="133">
        <f t="shared" si="1"/>
        <v>118</v>
      </c>
      <c r="B130" s="154"/>
      <c r="C130" s="394"/>
      <c r="D130" s="395"/>
      <c r="E130" s="396"/>
      <c r="F130" s="397"/>
      <c r="G130" s="388"/>
      <c r="H130" s="389"/>
    </row>
    <row r="131" spans="1:8" ht="45" customHeight="1" x14ac:dyDescent="0.25">
      <c r="A131" s="133">
        <f t="shared" si="1"/>
        <v>119</v>
      </c>
      <c r="B131" s="154"/>
      <c r="C131" s="394"/>
      <c r="D131" s="395"/>
      <c r="E131" s="396"/>
      <c r="F131" s="397"/>
      <c r="G131" s="388"/>
      <c r="H131" s="389"/>
    </row>
    <row r="132" spans="1:8" ht="45" customHeight="1" x14ac:dyDescent="0.25">
      <c r="A132" s="133">
        <f t="shared" si="1"/>
        <v>120</v>
      </c>
      <c r="B132" s="154"/>
      <c r="C132" s="394"/>
      <c r="D132" s="395"/>
      <c r="E132" s="396"/>
      <c r="F132" s="397"/>
      <c r="G132" s="388"/>
      <c r="H132" s="389"/>
    </row>
    <row r="133" spans="1:8" ht="45" customHeight="1" x14ac:dyDescent="0.25">
      <c r="A133" s="133">
        <f t="shared" si="1"/>
        <v>121</v>
      </c>
      <c r="B133" s="154"/>
      <c r="C133" s="394"/>
      <c r="D133" s="395"/>
      <c r="E133" s="396"/>
      <c r="F133" s="397"/>
      <c r="G133" s="388"/>
      <c r="H133" s="389"/>
    </row>
    <row r="134" spans="1:8" ht="45" customHeight="1" x14ac:dyDescent="0.25">
      <c r="A134" s="133">
        <f t="shared" si="1"/>
        <v>122</v>
      </c>
      <c r="B134" s="154"/>
      <c r="C134" s="394"/>
      <c r="D134" s="395"/>
      <c r="E134" s="396"/>
      <c r="F134" s="397"/>
      <c r="G134" s="388"/>
      <c r="H134" s="389"/>
    </row>
    <row r="135" spans="1:8" ht="45" customHeight="1" x14ac:dyDescent="0.25">
      <c r="A135" s="133">
        <f t="shared" si="1"/>
        <v>123</v>
      </c>
      <c r="B135" s="154"/>
      <c r="C135" s="394"/>
      <c r="D135" s="395"/>
      <c r="E135" s="396"/>
      <c r="F135" s="397"/>
      <c r="G135" s="388"/>
      <c r="H135" s="389"/>
    </row>
    <row r="136" spans="1:8" ht="45" customHeight="1" x14ac:dyDescent="0.25">
      <c r="A136" s="133">
        <f t="shared" si="1"/>
        <v>124</v>
      </c>
      <c r="B136" s="154"/>
      <c r="C136" s="394"/>
      <c r="D136" s="395"/>
      <c r="E136" s="396"/>
      <c r="F136" s="397"/>
      <c r="G136" s="388"/>
      <c r="H136" s="389"/>
    </row>
    <row r="137" spans="1:8" ht="45" customHeight="1" x14ac:dyDescent="0.25">
      <c r="A137" s="133">
        <f t="shared" si="1"/>
        <v>125</v>
      </c>
      <c r="B137" s="154"/>
      <c r="C137" s="394"/>
      <c r="D137" s="395"/>
      <c r="E137" s="396"/>
      <c r="F137" s="397"/>
      <c r="G137" s="388"/>
      <c r="H137" s="389"/>
    </row>
    <row r="138" spans="1:8" ht="45" customHeight="1" x14ac:dyDescent="0.25">
      <c r="A138" s="133">
        <f t="shared" si="1"/>
        <v>126</v>
      </c>
      <c r="B138" s="154"/>
      <c r="C138" s="394"/>
      <c r="D138" s="395"/>
      <c r="E138" s="396"/>
      <c r="F138" s="397"/>
      <c r="G138" s="388"/>
      <c r="H138" s="389"/>
    </row>
    <row r="139" spans="1:8" ht="45" customHeight="1" x14ac:dyDescent="0.25">
      <c r="A139" s="133">
        <f t="shared" si="1"/>
        <v>127</v>
      </c>
      <c r="B139" s="154"/>
      <c r="C139" s="394"/>
      <c r="D139" s="395"/>
      <c r="E139" s="396"/>
      <c r="F139" s="397"/>
      <c r="G139" s="388"/>
      <c r="H139" s="389"/>
    </row>
    <row r="140" spans="1:8" ht="45" customHeight="1" x14ac:dyDescent="0.25">
      <c r="A140" s="133">
        <f t="shared" si="1"/>
        <v>128</v>
      </c>
      <c r="B140" s="154"/>
      <c r="C140" s="394"/>
      <c r="D140" s="395"/>
      <c r="E140" s="396"/>
      <c r="F140" s="397"/>
      <c r="G140" s="388"/>
      <c r="H140" s="389"/>
    </row>
    <row r="141" spans="1:8" ht="45" customHeight="1" x14ac:dyDescent="0.25">
      <c r="A141" s="133">
        <f t="shared" si="1"/>
        <v>129</v>
      </c>
      <c r="B141" s="154"/>
      <c r="C141" s="394"/>
      <c r="D141" s="395"/>
      <c r="E141" s="396"/>
      <c r="F141" s="397"/>
      <c r="G141" s="388"/>
      <c r="H141" s="389"/>
    </row>
    <row r="142" spans="1:8" ht="45" customHeight="1" x14ac:dyDescent="0.25">
      <c r="A142" s="133">
        <f t="shared" ref="A142:A205" si="2">ROW(A130)</f>
        <v>130</v>
      </c>
      <c r="B142" s="154"/>
      <c r="C142" s="394"/>
      <c r="D142" s="395"/>
      <c r="E142" s="396"/>
      <c r="F142" s="397"/>
      <c r="G142" s="388"/>
      <c r="H142" s="389"/>
    </row>
    <row r="143" spans="1:8" ht="45" customHeight="1" x14ac:dyDescent="0.25">
      <c r="A143" s="133">
        <f t="shared" si="2"/>
        <v>131</v>
      </c>
      <c r="B143" s="154"/>
      <c r="C143" s="394"/>
      <c r="D143" s="395"/>
      <c r="E143" s="396"/>
      <c r="F143" s="397"/>
      <c r="G143" s="388"/>
      <c r="H143" s="389"/>
    </row>
    <row r="144" spans="1:8" ht="45" customHeight="1" x14ac:dyDescent="0.25">
      <c r="A144" s="133">
        <f t="shared" si="2"/>
        <v>132</v>
      </c>
      <c r="B144" s="154"/>
      <c r="C144" s="394"/>
      <c r="D144" s="395"/>
      <c r="E144" s="396"/>
      <c r="F144" s="397"/>
      <c r="G144" s="388"/>
      <c r="H144" s="389"/>
    </row>
    <row r="145" spans="1:8" ht="45" customHeight="1" x14ac:dyDescent="0.25">
      <c r="A145" s="133">
        <f t="shared" si="2"/>
        <v>133</v>
      </c>
      <c r="B145" s="154"/>
      <c r="C145" s="394"/>
      <c r="D145" s="395"/>
      <c r="E145" s="396"/>
      <c r="F145" s="397"/>
      <c r="G145" s="388"/>
      <c r="H145" s="389"/>
    </row>
    <row r="146" spans="1:8" ht="45" customHeight="1" x14ac:dyDescent="0.25">
      <c r="A146" s="133">
        <f t="shared" si="2"/>
        <v>134</v>
      </c>
      <c r="B146" s="154"/>
      <c r="C146" s="394"/>
      <c r="D146" s="395"/>
      <c r="E146" s="396"/>
      <c r="F146" s="397"/>
      <c r="G146" s="388"/>
      <c r="H146" s="389"/>
    </row>
    <row r="147" spans="1:8" ht="45" customHeight="1" x14ac:dyDescent="0.25">
      <c r="A147" s="133">
        <f t="shared" si="2"/>
        <v>135</v>
      </c>
      <c r="B147" s="154"/>
      <c r="C147" s="394"/>
      <c r="D147" s="395"/>
      <c r="E147" s="396"/>
      <c r="F147" s="397"/>
      <c r="G147" s="388"/>
      <c r="H147" s="389"/>
    </row>
    <row r="148" spans="1:8" ht="45" customHeight="1" x14ac:dyDescent="0.25">
      <c r="A148" s="133">
        <f t="shared" si="2"/>
        <v>136</v>
      </c>
      <c r="B148" s="154"/>
      <c r="C148" s="394"/>
      <c r="D148" s="395"/>
      <c r="E148" s="396"/>
      <c r="F148" s="397"/>
      <c r="G148" s="388"/>
      <c r="H148" s="389"/>
    </row>
    <row r="149" spans="1:8" ht="45" customHeight="1" x14ac:dyDescent="0.25">
      <c r="A149" s="133">
        <f t="shared" si="2"/>
        <v>137</v>
      </c>
      <c r="B149" s="154"/>
      <c r="C149" s="394"/>
      <c r="D149" s="395"/>
      <c r="E149" s="396"/>
      <c r="F149" s="397"/>
      <c r="G149" s="388"/>
      <c r="H149" s="389"/>
    </row>
    <row r="150" spans="1:8" ht="45" customHeight="1" x14ac:dyDescent="0.25">
      <c r="A150" s="133">
        <f t="shared" si="2"/>
        <v>138</v>
      </c>
      <c r="B150" s="154"/>
      <c r="C150" s="394"/>
      <c r="D150" s="395"/>
      <c r="E150" s="396"/>
      <c r="F150" s="397"/>
      <c r="G150" s="388"/>
      <c r="H150" s="389"/>
    </row>
    <row r="151" spans="1:8" ht="45" customHeight="1" x14ac:dyDescent="0.25">
      <c r="A151" s="133">
        <f t="shared" si="2"/>
        <v>139</v>
      </c>
      <c r="B151" s="154"/>
      <c r="C151" s="394"/>
      <c r="D151" s="395"/>
      <c r="E151" s="396"/>
      <c r="F151" s="397"/>
      <c r="G151" s="388"/>
      <c r="H151" s="389"/>
    </row>
    <row r="152" spans="1:8" ht="45" customHeight="1" x14ac:dyDescent="0.25">
      <c r="A152" s="133">
        <f t="shared" si="2"/>
        <v>140</v>
      </c>
      <c r="B152" s="154"/>
      <c r="C152" s="394"/>
      <c r="D152" s="395"/>
      <c r="E152" s="396"/>
      <c r="F152" s="397"/>
      <c r="G152" s="388"/>
      <c r="H152" s="389"/>
    </row>
    <row r="153" spans="1:8" ht="45" customHeight="1" x14ac:dyDescent="0.25">
      <c r="A153" s="133">
        <f t="shared" si="2"/>
        <v>141</v>
      </c>
      <c r="B153" s="154"/>
      <c r="C153" s="394"/>
      <c r="D153" s="395"/>
      <c r="E153" s="396"/>
      <c r="F153" s="397"/>
      <c r="G153" s="388"/>
      <c r="H153" s="389"/>
    </row>
    <row r="154" spans="1:8" ht="45" customHeight="1" x14ac:dyDescent="0.25">
      <c r="A154" s="133">
        <f t="shared" si="2"/>
        <v>142</v>
      </c>
      <c r="B154" s="154"/>
      <c r="C154" s="394"/>
      <c r="D154" s="395"/>
      <c r="E154" s="396"/>
      <c r="F154" s="397"/>
      <c r="G154" s="388"/>
      <c r="H154" s="389"/>
    </row>
    <row r="155" spans="1:8" ht="45" customHeight="1" x14ac:dyDescent="0.25">
      <c r="A155" s="133">
        <f t="shared" si="2"/>
        <v>143</v>
      </c>
      <c r="B155" s="154"/>
      <c r="C155" s="394"/>
      <c r="D155" s="395"/>
      <c r="E155" s="396"/>
      <c r="F155" s="397"/>
      <c r="G155" s="388"/>
      <c r="H155" s="389"/>
    </row>
    <row r="156" spans="1:8" ht="45" customHeight="1" x14ac:dyDescent="0.25">
      <c r="A156" s="133">
        <f t="shared" si="2"/>
        <v>144</v>
      </c>
      <c r="B156" s="154"/>
      <c r="C156" s="394"/>
      <c r="D156" s="395"/>
      <c r="E156" s="396"/>
      <c r="F156" s="397"/>
      <c r="G156" s="388"/>
      <c r="H156" s="389"/>
    </row>
    <row r="157" spans="1:8" ht="45" customHeight="1" x14ac:dyDescent="0.25">
      <c r="A157" s="133">
        <f t="shared" si="2"/>
        <v>145</v>
      </c>
      <c r="B157" s="154"/>
      <c r="C157" s="394"/>
      <c r="D157" s="395"/>
      <c r="E157" s="396"/>
      <c r="F157" s="397"/>
      <c r="G157" s="388"/>
      <c r="H157" s="389"/>
    </row>
    <row r="158" spans="1:8" ht="45" customHeight="1" x14ac:dyDescent="0.25">
      <c r="A158" s="133">
        <f t="shared" si="2"/>
        <v>146</v>
      </c>
      <c r="B158" s="154"/>
      <c r="C158" s="394"/>
      <c r="D158" s="395"/>
      <c r="E158" s="396"/>
      <c r="F158" s="397"/>
      <c r="G158" s="388"/>
      <c r="H158" s="389"/>
    </row>
    <row r="159" spans="1:8" ht="45" customHeight="1" x14ac:dyDescent="0.25">
      <c r="A159" s="133">
        <f t="shared" si="2"/>
        <v>147</v>
      </c>
      <c r="B159" s="154"/>
      <c r="C159" s="394"/>
      <c r="D159" s="395"/>
      <c r="E159" s="396"/>
      <c r="F159" s="397"/>
      <c r="G159" s="388"/>
      <c r="H159" s="389"/>
    </row>
    <row r="160" spans="1:8" ht="45" customHeight="1" x14ac:dyDescent="0.25">
      <c r="A160" s="133">
        <f t="shared" si="2"/>
        <v>148</v>
      </c>
      <c r="B160" s="154"/>
      <c r="C160" s="394"/>
      <c r="D160" s="395"/>
      <c r="E160" s="396"/>
      <c r="F160" s="397"/>
      <c r="G160" s="388"/>
      <c r="H160" s="389"/>
    </row>
    <row r="161" spans="1:8" ht="45" customHeight="1" x14ac:dyDescent="0.25">
      <c r="A161" s="133">
        <f t="shared" si="2"/>
        <v>149</v>
      </c>
      <c r="B161" s="154"/>
      <c r="C161" s="394"/>
      <c r="D161" s="395"/>
      <c r="E161" s="396"/>
      <c r="F161" s="397"/>
      <c r="G161" s="388"/>
      <c r="H161" s="389"/>
    </row>
    <row r="162" spans="1:8" ht="45" customHeight="1" x14ac:dyDescent="0.25">
      <c r="A162" s="133">
        <f t="shared" si="2"/>
        <v>150</v>
      </c>
      <c r="B162" s="154"/>
      <c r="C162" s="394"/>
      <c r="D162" s="395"/>
      <c r="E162" s="396"/>
      <c r="F162" s="397"/>
      <c r="G162" s="388"/>
      <c r="H162" s="389"/>
    </row>
    <row r="163" spans="1:8" ht="45" customHeight="1" x14ac:dyDescent="0.25">
      <c r="A163" s="133">
        <f t="shared" si="2"/>
        <v>151</v>
      </c>
      <c r="B163" s="154"/>
      <c r="C163" s="394"/>
      <c r="D163" s="395"/>
      <c r="E163" s="396"/>
      <c r="F163" s="397"/>
      <c r="G163" s="388"/>
      <c r="H163" s="389"/>
    </row>
    <row r="164" spans="1:8" ht="45" customHeight="1" x14ac:dyDescent="0.25">
      <c r="A164" s="133">
        <f t="shared" si="2"/>
        <v>152</v>
      </c>
      <c r="B164" s="154"/>
      <c r="C164" s="394"/>
      <c r="D164" s="395"/>
      <c r="E164" s="396"/>
      <c r="F164" s="397"/>
      <c r="G164" s="388"/>
      <c r="H164" s="389"/>
    </row>
    <row r="165" spans="1:8" ht="45" customHeight="1" x14ac:dyDescent="0.25">
      <c r="A165" s="133">
        <f t="shared" si="2"/>
        <v>153</v>
      </c>
      <c r="B165" s="154"/>
      <c r="C165" s="394"/>
      <c r="D165" s="395"/>
      <c r="E165" s="396"/>
      <c r="F165" s="397"/>
      <c r="G165" s="388"/>
      <c r="H165" s="389"/>
    </row>
    <row r="166" spans="1:8" ht="45" customHeight="1" x14ac:dyDescent="0.25">
      <c r="A166" s="133">
        <f t="shared" si="2"/>
        <v>154</v>
      </c>
      <c r="B166" s="154"/>
      <c r="C166" s="394"/>
      <c r="D166" s="395"/>
      <c r="E166" s="396"/>
      <c r="F166" s="397"/>
      <c r="G166" s="388"/>
      <c r="H166" s="389"/>
    </row>
    <row r="167" spans="1:8" ht="45" customHeight="1" x14ac:dyDescent="0.25">
      <c r="A167" s="133">
        <f t="shared" si="2"/>
        <v>155</v>
      </c>
      <c r="B167" s="154"/>
      <c r="C167" s="394"/>
      <c r="D167" s="395"/>
      <c r="E167" s="396"/>
      <c r="F167" s="397"/>
      <c r="G167" s="388"/>
      <c r="H167" s="389"/>
    </row>
    <row r="168" spans="1:8" ht="45" customHeight="1" x14ac:dyDescent="0.25">
      <c r="A168" s="133">
        <f t="shared" si="2"/>
        <v>156</v>
      </c>
      <c r="B168" s="154"/>
      <c r="C168" s="394"/>
      <c r="D168" s="395"/>
      <c r="E168" s="396"/>
      <c r="F168" s="397"/>
      <c r="G168" s="388"/>
      <c r="H168" s="389"/>
    </row>
    <row r="169" spans="1:8" ht="45" customHeight="1" x14ac:dyDescent="0.25">
      <c r="A169" s="133">
        <f t="shared" si="2"/>
        <v>157</v>
      </c>
      <c r="B169" s="154"/>
      <c r="C169" s="394"/>
      <c r="D169" s="395"/>
      <c r="E169" s="396"/>
      <c r="F169" s="397"/>
      <c r="G169" s="388"/>
      <c r="H169" s="389"/>
    </row>
    <row r="170" spans="1:8" ht="45" customHeight="1" x14ac:dyDescent="0.25">
      <c r="A170" s="133">
        <f t="shared" si="2"/>
        <v>158</v>
      </c>
      <c r="B170" s="154"/>
      <c r="C170" s="394"/>
      <c r="D170" s="395"/>
      <c r="E170" s="396"/>
      <c r="F170" s="397"/>
      <c r="G170" s="388"/>
      <c r="H170" s="389"/>
    </row>
    <row r="171" spans="1:8" ht="45" customHeight="1" x14ac:dyDescent="0.25">
      <c r="A171" s="133">
        <f t="shared" si="2"/>
        <v>159</v>
      </c>
      <c r="B171" s="154"/>
      <c r="C171" s="394"/>
      <c r="D171" s="395"/>
      <c r="E171" s="396"/>
      <c r="F171" s="397"/>
      <c r="G171" s="388"/>
      <c r="H171" s="389"/>
    </row>
    <row r="172" spans="1:8" ht="45" customHeight="1" x14ac:dyDescent="0.25">
      <c r="A172" s="133">
        <f t="shared" si="2"/>
        <v>160</v>
      </c>
      <c r="B172" s="154"/>
      <c r="C172" s="394"/>
      <c r="D172" s="395"/>
      <c r="E172" s="396"/>
      <c r="F172" s="397"/>
      <c r="G172" s="388"/>
      <c r="H172" s="389"/>
    </row>
    <row r="173" spans="1:8" ht="45" customHeight="1" x14ac:dyDescent="0.25">
      <c r="A173" s="133">
        <f t="shared" si="2"/>
        <v>161</v>
      </c>
      <c r="B173" s="154"/>
      <c r="C173" s="394"/>
      <c r="D173" s="395"/>
      <c r="E173" s="396"/>
      <c r="F173" s="397"/>
      <c r="G173" s="388"/>
      <c r="H173" s="389"/>
    </row>
    <row r="174" spans="1:8" ht="45" customHeight="1" x14ac:dyDescent="0.25">
      <c r="A174" s="133">
        <f t="shared" si="2"/>
        <v>162</v>
      </c>
      <c r="B174" s="154"/>
      <c r="C174" s="394"/>
      <c r="D174" s="395"/>
      <c r="E174" s="396"/>
      <c r="F174" s="397"/>
      <c r="G174" s="388"/>
      <c r="H174" s="389"/>
    </row>
    <row r="175" spans="1:8" ht="45" customHeight="1" x14ac:dyDescent="0.25">
      <c r="A175" s="133">
        <f t="shared" si="2"/>
        <v>163</v>
      </c>
      <c r="B175" s="154"/>
      <c r="C175" s="394"/>
      <c r="D175" s="395"/>
      <c r="E175" s="396"/>
      <c r="F175" s="397"/>
      <c r="G175" s="388"/>
      <c r="H175" s="389"/>
    </row>
    <row r="176" spans="1:8" ht="45" customHeight="1" x14ac:dyDescent="0.25">
      <c r="A176" s="133">
        <f t="shared" si="2"/>
        <v>164</v>
      </c>
      <c r="B176" s="154"/>
      <c r="C176" s="394"/>
      <c r="D176" s="395"/>
      <c r="E176" s="396"/>
      <c r="F176" s="397"/>
      <c r="G176" s="388"/>
      <c r="H176" s="389"/>
    </row>
    <row r="177" spans="1:8" ht="45" customHeight="1" x14ac:dyDescent="0.25">
      <c r="A177" s="133">
        <f t="shared" si="2"/>
        <v>165</v>
      </c>
      <c r="B177" s="154"/>
      <c r="C177" s="394"/>
      <c r="D177" s="395"/>
      <c r="E177" s="396"/>
      <c r="F177" s="397"/>
      <c r="G177" s="388"/>
      <c r="H177" s="389"/>
    </row>
    <row r="178" spans="1:8" ht="45" customHeight="1" x14ac:dyDescent="0.25">
      <c r="A178" s="133">
        <f t="shared" si="2"/>
        <v>166</v>
      </c>
      <c r="B178" s="154"/>
      <c r="C178" s="394"/>
      <c r="D178" s="395"/>
      <c r="E178" s="396"/>
      <c r="F178" s="397"/>
      <c r="G178" s="388"/>
      <c r="H178" s="389"/>
    </row>
    <row r="179" spans="1:8" ht="45" customHeight="1" x14ac:dyDescent="0.25">
      <c r="A179" s="133">
        <f t="shared" si="2"/>
        <v>167</v>
      </c>
      <c r="B179" s="154"/>
      <c r="C179" s="394"/>
      <c r="D179" s="395"/>
      <c r="E179" s="396"/>
      <c r="F179" s="397"/>
      <c r="G179" s="388"/>
      <c r="H179" s="389"/>
    </row>
    <row r="180" spans="1:8" ht="45" customHeight="1" x14ac:dyDescent="0.25">
      <c r="A180" s="133">
        <f t="shared" si="2"/>
        <v>168</v>
      </c>
      <c r="B180" s="154"/>
      <c r="C180" s="394"/>
      <c r="D180" s="395"/>
      <c r="E180" s="396"/>
      <c r="F180" s="397"/>
      <c r="G180" s="388"/>
      <c r="H180" s="389"/>
    </row>
    <row r="181" spans="1:8" ht="45" customHeight="1" x14ac:dyDescent="0.25">
      <c r="A181" s="133">
        <f t="shared" si="2"/>
        <v>169</v>
      </c>
      <c r="B181" s="154"/>
      <c r="C181" s="394"/>
      <c r="D181" s="395"/>
      <c r="E181" s="396"/>
      <c r="F181" s="397"/>
      <c r="G181" s="388"/>
      <c r="H181" s="389"/>
    </row>
    <row r="182" spans="1:8" ht="45" customHeight="1" x14ac:dyDescent="0.25">
      <c r="A182" s="133">
        <f t="shared" si="2"/>
        <v>170</v>
      </c>
      <c r="B182" s="154"/>
      <c r="C182" s="394"/>
      <c r="D182" s="395"/>
      <c r="E182" s="396"/>
      <c r="F182" s="397"/>
      <c r="G182" s="388"/>
      <c r="H182" s="389"/>
    </row>
    <row r="183" spans="1:8" ht="45" customHeight="1" x14ac:dyDescent="0.25">
      <c r="A183" s="133">
        <f t="shared" si="2"/>
        <v>171</v>
      </c>
      <c r="B183" s="154"/>
      <c r="C183" s="394"/>
      <c r="D183" s="395"/>
      <c r="E183" s="396"/>
      <c r="F183" s="397"/>
      <c r="G183" s="388"/>
      <c r="H183" s="389"/>
    </row>
    <row r="184" spans="1:8" ht="45" customHeight="1" x14ac:dyDescent="0.25">
      <c r="A184" s="133">
        <f t="shared" si="2"/>
        <v>172</v>
      </c>
      <c r="B184" s="154"/>
      <c r="C184" s="394"/>
      <c r="D184" s="395"/>
      <c r="E184" s="396"/>
      <c r="F184" s="397"/>
      <c r="G184" s="388"/>
      <c r="H184" s="389"/>
    </row>
    <row r="185" spans="1:8" ht="45" customHeight="1" x14ac:dyDescent="0.25">
      <c r="A185" s="133">
        <f t="shared" si="2"/>
        <v>173</v>
      </c>
      <c r="B185" s="154"/>
      <c r="C185" s="394"/>
      <c r="D185" s="395"/>
      <c r="E185" s="396"/>
      <c r="F185" s="397"/>
      <c r="G185" s="388"/>
      <c r="H185" s="389"/>
    </row>
    <row r="186" spans="1:8" ht="45" customHeight="1" x14ac:dyDescent="0.25">
      <c r="A186" s="133">
        <f t="shared" si="2"/>
        <v>174</v>
      </c>
      <c r="B186" s="154"/>
      <c r="C186" s="394"/>
      <c r="D186" s="395"/>
      <c r="E186" s="396"/>
      <c r="F186" s="397"/>
      <c r="G186" s="388"/>
      <c r="H186" s="389"/>
    </row>
    <row r="187" spans="1:8" ht="45" customHeight="1" x14ac:dyDescent="0.25">
      <c r="A187" s="133">
        <f t="shared" si="2"/>
        <v>175</v>
      </c>
      <c r="B187" s="154"/>
      <c r="C187" s="394"/>
      <c r="D187" s="395"/>
      <c r="E187" s="396"/>
      <c r="F187" s="397"/>
      <c r="G187" s="388"/>
      <c r="H187" s="389"/>
    </row>
    <row r="188" spans="1:8" ht="45" customHeight="1" x14ac:dyDescent="0.25">
      <c r="A188" s="133">
        <f t="shared" si="2"/>
        <v>176</v>
      </c>
      <c r="B188" s="154"/>
      <c r="C188" s="394"/>
      <c r="D188" s="395"/>
      <c r="E188" s="396"/>
      <c r="F188" s="397"/>
      <c r="G188" s="388"/>
      <c r="H188" s="389"/>
    </row>
    <row r="189" spans="1:8" ht="45" customHeight="1" x14ac:dyDescent="0.25">
      <c r="A189" s="133">
        <f t="shared" si="2"/>
        <v>177</v>
      </c>
      <c r="B189" s="154"/>
      <c r="C189" s="394"/>
      <c r="D189" s="395"/>
      <c r="E189" s="396"/>
      <c r="F189" s="397"/>
      <c r="G189" s="388"/>
      <c r="H189" s="389"/>
    </row>
    <row r="190" spans="1:8" ht="45" customHeight="1" x14ac:dyDescent="0.25">
      <c r="A190" s="133">
        <f t="shared" si="2"/>
        <v>178</v>
      </c>
      <c r="B190" s="154"/>
      <c r="C190" s="394"/>
      <c r="D190" s="395"/>
      <c r="E190" s="396"/>
      <c r="F190" s="397"/>
      <c r="G190" s="388"/>
      <c r="H190" s="389"/>
    </row>
    <row r="191" spans="1:8" ht="45" customHeight="1" x14ac:dyDescent="0.25">
      <c r="A191" s="133">
        <f t="shared" si="2"/>
        <v>179</v>
      </c>
      <c r="B191" s="154"/>
      <c r="C191" s="394"/>
      <c r="D191" s="395"/>
      <c r="E191" s="396"/>
      <c r="F191" s="397"/>
      <c r="G191" s="388"/>
      <c r="H191" s="389"/>
    </row>
    <row r="192" spans="1:8" ht="45" customHeight="1" x14ac:dyDescent="0.25">
      <c r="A192" s="133">
        <f t="shared" si="2"/>
        <v>180</v>
      </c>
      <c r="B192" s="154"/>
      <c r="C192" s="394"/>
      <c r="D192" s="395"/>
      <c r="E192" s="396"/>
      <c r="F192" s="397"/>
      <c r="G192" s="388"/>
      <c r="H192" s="389"/>
    </row>
    <row r="193" spans="1:8" ht="45" customHeight="1" x14ac:dyDescent="0.25">
      <c r="A193" s="133">
        <f t="shared" si="2"/>
        <v>181</v>
      </c>
      <c r="B193" s="154"/>
      <c r="C193" s="394"/>
      <c r="D193" s="395"/>
      <c r="E193" s="396"/>
      <c r="F193" s="397"/>
      <c r="G193" s="388"/>
      <c r="H193" s="389"/>
    </row>
    <row r="194" spans="1:8" ht="45" customHeight="1" x14ac:dyDescent="0.25">
      <c r="A194" s="133">
        <f t="shared" si="2"/>
        <v>182</v>
      </c>
      <c r="B194" s="154"/>
      <c r="C194" s="394"/>
      <c r="D194" s="395"/>
      <c r="E194" s="396"/>
      <c r="F194" s="397"/>
      <c r="G194" s="388"/>
      <c r="H194" s="389"/>
    </row>
    <row r="195" spans="1:8" ht="45" customHeight="1" x14ac:dyDescent="0.25">
      <c r="A195" s="133">
        <f t="shared" si="2"/>
        <v>183</v>
      </c>
      <c r="B195" s="154"/>
      <c r="C195" s="394"/>
      <c r="D195" s="395"/>
      <c r="E195" s="396"/>
      <c r="F195" s="397"/>
      <c r="G195" s="388"/>
      <c r="H195" s="389"/>
    </row>
    <row r="196" spans="1:8" ht="45" customHeight="1" x14ac:dyDescent="0.25">
      <c r="A196" s="133">
        <f t="shared" si="2"/>
        <v>184</v>
      </c>
      <c r="B196" s="154"/>
      <c r="C196" s="394"/>
      <c r="D196" s="395"/>
      <c r="E196" s="396"/>
      <c r="F196" s="397"/>
      <c r="G196" s="388"/>
      <c r="H196" s="389"/>
    </row>
    <row r="197" spans="1:8" ht="45" customHeight="1" x14ac:dyDescent="0.25">
      <c r="A197" s="133">
        <f t="shared" si="2"/>
        <v>185</v>
      </c>
      <c r="B197" s="154"/>
      <c r="C197" s="394"/>
      <c r="D197" s="395"/>
      <c r="E197" s="396"/>
      <c r="F197" s="397"/>
      <c r="G197" s="388"/>
      <c r="H197" s="389"/>
    </row>
    <row r="198" spans="1:8" ht="45" customHeight="1" x14ac:dyDescent="0.25">
      <c r="A198" s="133">
        <f t="shared" si="2"/>
        <v>186</v>
      </c>
      <c r="B198" s="154"/>
      <c r="C198" s="394"/>
      <c r="D198" s="395"/>
      <c r="E198" s="396"/>
      <c r="F198" s="397"/>
      <c r="G198" s="388"/>
      <c r="H198" s="389"/>
    </row>
    <row r="199" spans="1:8" ht="45" customHeight="1" x14ac:dyDescent="0.25">
      <c r="A199" s="133">
        <f t="shared" si="2"/>
        <v>187</v>
      </c>
      <c r="B199" s="154"/>
      <c r="C199" s="394"/>
      <c r="D199" s="395"/>
      <c r="E199" s="396"/>
      <c r="F199" s="397"/>
      <c r="G199" s="388"/>
      <c r="H199" s="389"/>
    </row>
    <row r="200" spans="1:8" ht="45" customHeight="1" x14ac:dyDescent="0.25">
      <c r="A200" s="133">
        <f t="shared" si="2"/>
        <v>188</v>
      </c>
      <c r="B200" s="154"/>
      <c r="C200" s="394"/>
      <c r="D200" s="395"/>
      <c r="E200" s="396"/>
      <c r="F200" s="397"/>
      <c r="G200" s="388"/>
      <c r="H200" s="389"/>
    </row>
    <row r="201" spans="1:8" ht="45" customHeight="1" x14ac:dyDescent="0.25">
      <c r="A201" s="133">
        <f t="shared" si="2"/>
        <v>189</v>
      </c>
      <c r="B201" s="154"/>
      <c r="C201" s="394"/>
      <c r="D201" s="395"/>
      <c r="E201" s="396"/>
      <c r="F201" s="397"/>
      <c r="G201" s="388"/>
      <c r="H201" s="389"/>
    </row>
    <row r="202" spans="1:8" ht="45" customHeight="1" x14ac:dyDescent="0.25">
      <c r="A202" s="133">
        <f t="shared" si="2"/>
        <v>190</v>
      </c>
      <c r="B202" s="154"/>
      <c r="C202" s="394"/>
      <c r="D202" s="395"/>
      <c r="E202" s="396"/>
      <c r="F202" s="397"/>
      <c r="G202" s="388"/>
      <c r="H202" s="389"/>
    </row>
    <row r="203" spans="1:8" ht="45" customHeight="1" x14ac:dyDescent="0.25">
      <c r="A203" s="133">
        <f t="shared" si="2"/>
        <v>191</v>
      </c>
      <c r="B203" s="154"/>
      <c r="C203" s="394"/>
      <c r="D203" s="395"/>
      <c r="E203" s="396"/>
      <c r="F203" s="397"/>
      <c r="G203" s="388"/>
      <c r="H203" s="389"/>
    </row>
    <row r="204" spans="1:8" ht="45" customHeight="1" x14ac:dyDescent="0.25">
      <c r="A204" s="133">
        <f t="shared" si="2"/>
        <v>192</v>
      </c>
      <c r="B204" s="154"/>
      <c r="C204" s="394"/>
      <c r="D204" s="395"/>
      <c r="E204" s="396"/>
      <c r="F204" s="397"/>
      <c r="G204" s="388"/>
      <c r="H204" s="389"/>
    </row>
    <row r="205" spans="1:8" ht="45" customHeight="1" x14ac:dyDescent="0.25">
      <c r="A205" s="133">
        <f t="shared" si="2"/>
        <v>193</v>
      </c>
      <c r="B205" s="154"/>
      <c r="C205" s="394"/>
      <c r="D205" s="395"/>
      <c r="E205" s="396"/>
      <c r="F205" s="397"/>
      <c r="G205" s="388"/>
      <c r="H205" s="389"/>
    </row>
    <row r="206" spans="1:8" ht="45" customHeight="1" x14ac:dyDescent="0.25">
      <c r="A206" s="133">
        <f t="shared" ref="A206:A212" si="3">ROW(A194)</f>
        <v>194</v>
      </c>
      <c r="B206" s="154"/>
      <c r="C206" s="394"/>
      <c r="D206" s="395"/>
      <c r="E206" s="396"/>
      <c r="F206" s="397"/>
      <c r="G206" s="388"/>
      <c r="H206" s="389"/>
    </row>
    <row r="207" spans="1:8" ht="45" customHeight="1" x14ac:dyDescent="0.25">
      <c r="A207" s="133">
        <f t="shared" si="3"/>
        <v>195</v>
      </c>
      <c r="B207" s="154"/>
      <c r="C207" s="394"/>
      <c r="D207" s="395"/>
      <c r="E207" s="396"/>
      <c r="F207" s="397"/>
      <c r="G207" s="388"/>
      <c r="H207" s="389"/>
    </row>
    <row r="208" spans="1:8" ht="45" customHeight="1" x14ac:dyDescent="0.25">
      <c r="A208" s="133">
        <f t="shared" si="3"/>
        <v>196</v>
      </c>
      <c r="B208" s="154"/>
      <c r="C208" s="394"/>
      <c r="D208" s="395"/>
      <c r="E208" s="396"/>
      <c r="F208" s="397"/>
      <c r="G208" s="388"/>
      <c r="H208" s="389"/>
    </row>
    <row r="209" spans="1:8" ht="45" customHeight="1" x14ac:dyDescent="0.25">
      <c r="A209" s="133">
        <f t="shared" si="3"/>
        <v>197</v>
      </c>
      <c r="B209" s="154"/>
      <c r="C209" s="394"/>
      <c r="D209" s="395"/>
      <c r="E209" s="396"/>
      <c r="F209" s="397"/>
      <c r="G209" s="388"/>
      <c r="H209" s="389"/>
    </row>
    <row r="210" spans="1:8" ht="45" customHeight="1" x14ac:dyDescent="0.25">
      <c r="A210" s="133">
        <f t="shared" si="3"/>
        <v>198</v>
      </c>
      <c r="B210" s="154"/>
      <c r="C210" s="394"/>
      <c r="D210" s="395"/>
      <c r="E210" s="396"/>
      <c r="F210" s="397"/>
      <c r="G210" s="388"/>
      <c r="H210" s="389"/>
    </row>
    <row r="211" spans="1:8" ht="45" customHeight="1" x14ac:dyDescent="0.25">
      <c r="A211" s="133">
        <f t="shared" si="3"/>
        <v>199</v>
      </c>
      <c r="B211" s="154"/>
      <c r="C211" s="394"/>
      <c r="D211" s="395"/>
      <c r="E211" s="396"/>
      <c r="F211" s="397"/>
      <c r="G211" s="388"/>
      <c r="H211" s="389"/>
    </row>
    <row r="212" spans="1:8" ht="45" customHeight="1" x14ac:dyDescent="0.25">
      <c r="A212" s="133">
        <f t="shared" si="3"/>
        <v>200</v>
      </c>
      <c r="B212" s="154"/>
      <c r="C212" s="394"/>
      <c r="D212" s="395"/>
      <c r="E212" s="396"/>
      <c r="F212" s="397"/>
      <c r="G212" s="388"/>
      <c r="H212" s="389"/>
    </row>
  </sheetData>
  <sheetProtection algorithmName="SHA-512" hashValue="m/IZpnOFBGo26KUBQwj+AgE61ci8NndTUidAgQP8Diq2Nk8rZ7cyfF3f7ZGSOpnVAVGwCHrf4GNChY8ApkiIbA==" saltValue="y40tD9EVomk7aWhCbKJ6oA==" spinCount="100000" sheet="1" objects="1" scenarios="1"/>
  <mergeCells count="623">
    <mergeCell ref="C1:D1"/>
    <mergeCell ref="A2:H2"/>
    <mergeCell ref="A3:H3"/>
    <mergeCell ref="A4:H4"/>
    <mergeCell ref="A5:C5"/>
    <mergeCell ref="D5:E5"/>
    <mergeCell ref="G5:H5"/>
    <mergeCell ref="A9:C9"/>
    <mergeCell ref="G9:H9"/>
    <mergeCell ref="A11:B11"/>
    <mergeCell ref="C11:H11"/>
    <mergeCell ref="C12:D12"/>
    <mergeCell ref="E12:F12"/>
    <mergeCell ref="G12:H12"/>
    <mergeCell ref="A6:C6"/>
    <mergeCell ref="D6:E6"/>
    <mergeCell ref="G6:H6"/>
    <mergeCell ref="A7:C8"/>
    <mergeCell ref="D7:E8"/>
    <mergeCell ref="G7:H7"/>
    <mergeCell ref="G8:H8"/>
    <mergeCell ref="G20:H20"/>
    <mergeCell ref="C16:D16"/>
    <mergeCell ref="C17:D17"/>
    <mergeCell ref="C18:D18"/>
    <mergeCell ref="E16:F16"/>
    <mergeCell ref="E17:F17"/>
    <mergeCell ref="E18:F18"/>
    <mergeCell ref="C13:D13"/>
    <mergeCell ref="C14:D14"/>
    <mergeCell ref="C15:D15"/>
    <mergeCell ref="E13:F13"/>
    <mergeCell ref="E14:F14"/>
    <mergeCell ref="E15:F15"/>
    <mergeCell ref="G13:H13"/>
    <mergeCell ref="G14:H14"/>
    <mergeCell ref="G15:H15"/>
    <mergeCell ref="G16:H16"/>
    <mergeCell ref="G17:H17"/>
    <mergeCell ref="G18:H18"/>
    <mergeCell ref="G19:H19"/>
    <mergeCell ref="C22:D22"/>
    <mergeCell ref="C23:D23"/>
    <mergeCell ref="C24:D24"/>
    <mergeCell ref="E22:F22"/>
    <mergeCell ref="E23:F23"/>
    <mergeCell ref="E24:F24"/>
    <mergeCell ref="C19:D19"/>
    <mergeCell ref="C20:D20"/>
    <mergeCell ref="C21:D21"/>
    <mergeCell ref="E19:F19"/>
    <mergeCell ref="E20:F20"/>
    <mergeCell ref="E21:F21"/>
    <mergeCell ref="C28:D28"/>
    <mergeCell ref="C29:D29"/>
    <mergeCell ref="C30:D30"/>
    <mergeCell ref="E28:F28"/>
    <mergeCell ref="E29:F29"/>
    <mergeCell ref="E30:F30"/>
    <mergeCell ref="G28:H28"/>
    <mergeCell ref="C25:D25"/>
    <mergeCell ref="C26:D26"/>
    <mergeCell ref="C27:D27"/>
    <mergeCell ref="E25:F25"/>
    <mergeCell ref="E26:F26"/>
    <mergeCell ref="E27:F27"/>
    <mergeCell ref="G27:H27"/>
    <mergeCell ref="C34:D34"/>
    <mergeCell ref="C35:D35"/>
    <mergeCell ref="C36:D36"/>
    <mergeCell ref="E34:F34"/>
    <mergeCell ref="E35:F35"/>
    <mergeCell ref="E36:F36"/>
    <mergeCell ref="G35:H35"/>
    <mergeCell ref="C31:D31"/>
    <mergeCell ref="C32:D32"/>
    <mergeCell ref="C33:D33"/>
    <mergeCell ref="E31:F31"/>
    <mergeCell ref="E32:F32"/>
    <mergeCell ref="E33:F33"/>
    <mergeCell ref="C40:D40"/>
    <mergeCell ref="C41:D41"/>
    <mergeCell ref="C42:D42"/>
    <mergeCell ref="E40:F40"/>
    <mergeCell ref="E41:F41"/>
    <mergeCell ref="E42:F42"/>
    <mergeCell ref="G42:H42"/>
    <mergeCell ref="C37:D37"/>
    <mergeCell ref="C38:D38"/>
    <mergeCell ref="C39:D39"/>
    <mergeCell ref="E37:F37"/>
    <mergeCell ref="E38:F38"/>
    <mergeCell ref="E39:F39"/>
    <mergeCell ref="G50:H50"/>
    <mergeCell ref="C46:D46"/>
    <mergeCell ref="C47:D47"/>
    <mergeCell ref="C48:D48"/>
    <mergeCell ref="E46:F46"/>
    <mergeCell ref="E47:F47"/>
    <mergeCell ref="E48:F48"/>
    <mergeCell ref="C43:D43"/>
    <mergeCell ref="C44:D44"/>
    <mergeCell ref="C45:D45"/>
    <mergeCell ref="E43:F43"/>
    <mergeCell ref="E44:F44"/>
    <mergeCell ref="E45:F45"/>
    <mergeCell ref="G43:H43"/>
    <mergeCell ref="C52:D52"/>
    <mergeCell ref="C53:D53"/>
    <mergeCell ref="C54:D54"/>
    <mergeCell ref="E52:F52"/>
    <mergeCell ref="E53:F53"/>
    <mergeCell ref="E54:F54"/>
    <mergeCell ref="C49:D49"/>
    <mergeCell ref="C50:D50"/>
    <mergeCell ref="C51:D51"/>
    <mergeCell ref="E49:F49"/>
    <mergeCell ref="E50:F50"/>
    <mergeCell ref="E51:F51"/>
    <mergeCell ref="C58:D58"/>
    <mergeCell ref="C59:D59"/>
    <mergeCell ref="C60:D60"/>
    <mergeCell ref="E58:F58"/>
    <mergeCell ref="E59:F59"/>
    <mergeCell ref="E60:F60"/>
    <mergeCell ref="G58:H58"/>
    <mergeCell ref="C55:D55"/>
    <mergeCell ref="C56:D56"/>
    <mergeCell ref="C57:D57"/>
    <mergeCell ref="E55:F55"/>
    <mergeCell ref="E56:F56"/>
    <mergeCell ref="E57:F57"/>
    <mergeCell ref="G57:H57"/>
    <mergeCell ref="C64:D64"/>
    <mergeCell ref="C65:D65"/>
    <mergeCell ref="C66:D66"/>
    <mergeCell ref="E64:F64"/>
    <mergeCell ref="E65:F65"/>
    <mergeCell ref="E66:F66"/>
    <mergeCell ref="G65:H65"/>
    <mergeCell ref="C61:D61"/>
    <mergeCell ref="C62:D62"/>
    <mergeCell ref="C63:D63"/>
    <mergeCell ref="E61:F61"/>
    <mergeCell ref="E62:F62"/>
    <mergeCell ref="E63:F63"/>
    <mergeCell ref="C70:D70"/>
    <mergeCell ref="C71:D71"/>
    <mergeCell ref="C72:D72"/>
    <mergeCell ref="E70:F70"/>
    <mergeCell ref="E71:F71"/>
    <mergeCell ref="E72:F72"/>
    <mergeCell ref="G72:H72"/>
    <mergeCell ref="C67:D67"/>
    <mergeCell ref="C68:D68"/>
    <mergeCell ref="C69:D69"/>
    <mergeCell ref="E67:F67"/>
    <mergeCell ref="E68:F68"/>
    <mergeCell ref="E69:F69"/>
    <mergeCell ref="G80:H80"/>
    <mergeCell ref="C76:D76"/>
    <mergeCell ref="C77:D77"/>
    <mergeCell ref="C78:D78"/>
    <mergeCell ref="E76:F76"/>
    <mergeCell ref="E77:F77"/>
    <mergeCell ref="E78:F78"/>
    <mergeCell ref="C73:D73"/>
    <mergeCell ref="C74:D74"/>
    <mergeCell ref="C75:D75"/>
    <mergeCell ref="E73:F73"/>
    <mergeCell ref="E74:F74"/>
    <mergeCell ref="E75:F75"/>
    <mergeCell ref="G73:H73"/>
    <mergeCell ref="G78:H78"/>
    <mergeCell ref="G79:H79"/>
    <mergeCell ref="C82:D82"/>
    <mergeCell ref="C83:D83"/>
    <mergeCell ref="C84:D84"/>
    <mergeCell ref="E82:F82"/>
    <mergeCell ref="E83:F83"/>
    <mergeCell ref="E84:F84"/>
    <mergeCell ref="C79:D79"/>
    <mergeCell ref="C80:D80"/>
    <mergeCell ref="C81:D81"/>
    <mergeCell ref="E79:F79"/>
    <mergeCell ref="E80:F80"/>
    <mergeCell ref="E81:F81"/>
    <mergeCell ref="C88:D88"/>
    <mergeCell ref="C89:D89"/>
    <mergeCell ref="C90:D90"/>
    <mergeCell ref="E88:F88"/>
    <mergeCell ref="E89:F89"/>
    <mergeCell ref="E90:F90"/>
    <mergeCell ref="G88:H88"/>
    <mergeCell ref="C85:D85"/>
    <mergeCell ref="C86:D86"/>
    <mergeCell ref="C87:D87"/>
    <mergeCell ref="E85:F85"/>
    <mergeCell ref="E86:F86"/>
    <mergeCell ref="E87:F87"/>
    <mergeCell ref="G87:H87"/>
    <mergeCell ref="G89:H89"/>
    <mergeCell ref="G90:H90"/>
    <mergeCell ref="C94:D94"/>
    <mergeCell ref="C95:D95"/>
    <mergeCell ref="C96:D96"/>
    <mergeCell ref="E94:F94"/>
    <mergeCell ref="E95:F95"/>
    <mergeCell ref="E96:F96"/>
    <mergeCell ref="G95:H95"/>
    <mergeCell ref="C91:D91"/>
    <mergeCell ref="C92:D92"/>
    <mergeCell ref="C93:D93"/>
    <mergeCell ref="E91:F91"/>
    <mergeCell ref="E92:F92"/>
    <mergeCell ref="E93:F93"/>
    <mergeCell ref="G91:H91"/>
    <mergeCell ref="G92:H92"/>
    <mergeCell ref="G93:H93"/>
    <mergeCell ref="G94:H94"/>
    <mergeCell ref="C100:D100"/>
    <mergeCell ref="C101:D101"/>
    <mergeCell ref="C102:D102"/>
    <mergeCell ref="E100:F100"/>
    <mergeCell ref="E101:F101"/>
    <mergeCell ref="E102:F102"/>
    <mergeCell ref="G102:H102"/>
    <mergeCell ref="C97:D97"/>
    <mergeCell ref="C98:D98"/>
    <mergeCell ref="C99:D99"/>
    <mergeCell ref="E97:F97"/>
    <mergeCell ref="E98:F98"/>
    <mergeCell ref="E99:F99"/>
    <mergeCell ref="G110:H110"/>
    <mergeCell ref="C106:D106"/>
    <mergeCell ref="C107:D107"/>
    <mergeCell ref="C108:D108"/>
    <mergeCell ref="E106:F106"/>
    <mergeCell ref="E107:F107"/>
    <mergeCell ref="E108:F108"/>
    <mergeCell ref="C103:D103"/>
    <mergeCell ref="C104:D104"/>
    <mergeCell ref="C105:D105"/>
    <mergeCell ref="E103:F103"/>
    <mergeCell ref="E104:F104"/>
    <mergeCell ref="E105:F105"/>
    <mergeCell ref="G103:H103"/>
    <mergeCell ref="G107:H107"/>
    <mergeCell ref="G108:H108"/>
    <mergeCell ref="G109:H109"/>
    <mergeCell ref="C112:D112"/>
    <mergeCell ref="C113:D113"/>
    <mergeCell ref="C114:D114"/>
    <mergeCell ref="E112:F112"/>
    <mergeCell ref="E113:F113"/>
    <mergeCell ref="E114:F114"/>
    <mergeCell ref="C109:D109"/>
    <mergeCell ref="C110:D110"/>
    <mergeCell ref="C111:D111"/>
    <mergeCell ref="E109:F109"/>
    <mergeCell ref="E110:F110"/>
    <mergeCell ref="E111:F111"/>
    <mergeCell ref="C118:D118"/>
    <mergeCell ref="C119:D119"/>
    <mergeCell ref="C120:D120"/>
    <mergeCell ref="E118:F118"/>
    <mergeCell ref="E119:F119"/>
    <mergeCell ref="E120:F120"/>
    <mergeCell ref="G118:H118"/>
    <mergeCell ref="C115:D115"/>
    <mergeCell ref="C116:D116"/>
    <mergeCell ref="C117:D117"/>
    <mergeCell ref="E115:F115"/>
    <mergeCell ref="E116:F116"/>
    <mergeCell ref="E117:F117"/>
    <mergeCell ref="G117:H117"/>
    <mergeCell ref="G119:H119"/>
    <mergeCell ref="G120:H120"/>
    <mergeCell ref="C124:D124"/>
    <mergeCell ref="C125:D125"/>
    <mergeCell ref="C126:D126"/>
    <mergeCell ref="E124:F124"/>
    <mergeCell ref="E125:F125"/>
    <mergeCell ref="E126:F126"/>
    <mergeCell ref="G125:H125"/>
    <mergeCell ref="C121:D121"/>
    <mergeCell ref="C122:D122"/>
    <mergeCell ref="C123:D123"/>
    <mergeCell ref="E121:F121"/>
    <mergeCell ref="E122:F122"/>
    <mergeCell ref="E123:F123"/>
    <mergeCell ref="G121:H121"/>
    <mergeCell ref="G122:H122"/>
    <mergeCell ref="G123:H123"/>
    <mergeCell ref="G124:H124"/>
    <mergeCell ref="C130:D130"/>
    <mergeCell ref="C131:D131"/>
    <mergeCell ref="C132:D132"/>
    <mergeCell ref="E130:F130"/>
    <mergeCell ref="E131:F131"/>
    <mergeCell ref="E132:F132"/>
    <mergeCell ref="G132:H132"/>
    <mergeCell ref="C127:D127"/>
    <mergeCell ref="C128:D128"/>
    <mergeCell ref="C129:D129"/>
    <mergeCell ref="E127:F127"/>
    <mergeCell ref="E128:F128"/>
    <mergeCell ref="E129:F129"/>
    <mergeCell ref="G140:H140"/>
    <mergeCell ref="C136:D136"/>
    <mergeCell ref="C137:D137"/>
    <mergeCell ref="C138:D138"/>
    <mergeCell ref="E136:F136"/>
    <mergeCell ref="E137:F137"/>
    <mergeCell ref="E138:F138"/>
    <mergeCell ref="C133:D133"/>
    <mergeCell ref="C134:D134"/>
    <mergeCell ref="C135:D135"/>
    <mergeCell ref="E133:F133"/>
    <mergeCell ref="E134:F134"/>
    <mergeCell ref="E135:F135"/>
    <mergeCell ref="G133:H133"/>
    <mergeCell ref="G137:H137"/>
    <mergeCell ref="G138:H138"/>
    <mergeCell ref="G139:H139"/>
    <mergeCell ref="C142:D142"/>
    <mergeCell ref="C143:D143"/>
    <mergeCell ref="C144:D144"/>
    <mergeCell ref="E142:F142"/>
    <mergeCell ref="E143:F143"/>
    <mergeCell ref="E144:F144"/>
    <mergeCell ref="C139:D139"/>
    <mergeCell ref="C140:D140"/>
    <mergeCell ref="C141:D141"/>
    <mergeCell ref="E139:F139"/>
    <mergeCell ref="E140:F140"/>
    <mergeCell ref="E141:F141"/>
    <mergeCell ref="C148:D148"/>
    <mergeCell ref="C149:D149"/>
    <mergeCell ref="C150:D150"/>
    <mergeCell ref="E148:F148"/>
    <mergeCell ref="E149:F149"/>
    <mergeCell ref="E150:F150"/>
    <mergeCell ref="G148:H148"/>
    <mergeCell ref="C145:D145"/>
    <mergeCell ref="C146:D146"/>
    <mergeCell ref="C147:D147"/>
    <mergeCell ref="E145:F145"/>
    <mergeCell ref="E146:F146"/>
    <mergeCell ref="E147:F147"/>
    <mergeCell ref="G147:H147"/>
    <mergeCell ref="G149:H149"/>
    <mergeCell ref="G150:H150"/>
    <mergeCell ref="C154:D154"/>
    <mergeCell ref="C155:D155"/>
    <mergeCell ref="C156:D156"/>
    <mergeCell ref="E154:F154"/>
    <mergeCell ref="E155:F155"/>
    <mergeCell ref="E156:F156"/>
    <mergeCell ref="G155:H155"/>
    <mergeCell ref="C151:D151"/>
    <mergeCell ref="C152:D152"/>
    <mergeCell ref="C153:D153"/>
    <mergeCell ref="E151:F151"/>
    <mergeCell ref="E152:F152"/>
    <mergeCell ref="E153:F153"/>
    <mergeCell ref="G151:H151"/>
    <mergeCell ref="G152:H152"/>
    <mergeCell ref="G153:H153"/>
    <mergeCell ref="G154:H154"/>
    <mergeCell ref="C160:D160"/>
    <mergeCell ref="C161:D161"/>
    <mergeCell ref="C162:D162"/>
    <mergeCell ref="E160:F160"/>
    <mergeCell ref="E161:F161"/>
    <mergeCell ref="E162:F162"/>
    <mergeCell ref="G162:H162"/>
    <mergeCell ref="C157:D157"/>
    <mergeCell ref="C158:D158"/>
    <mergeCell ref="C159:D159"/>
    <mergeCell ref="E157:F157"/>
    <mergeCell ref="E158:F158"/>
    <mergeCell ref="E159:F159"/>
    <mergeCell ref="G170:H170"/>
    <mergeCell ref="C166:D166"/>
    <mergeCell ref="C167:D167"/>
    <mergeCell ref="C168:D168"/>
    <mergeCell ref="E166:F166"/>
    <mergeCell ref="E167:F167"/>
    <mergeCell ref="E168:F168"/>
    <mergeCell ref="C163:D163"/>
    <mergeCell ref="C164:D164"/>
    <mergeCell ref="C165:D165"/>
    <mergeCell ref="E163:F163"/>
    <mergeCell ref="E164:F164"/>
    <mergeCell ref="E165:F165"/>
    <mergeCell ref="G163:H163"/>
    <mergeCell ref="G167:H167"/>
    <mergeCell ref="G168:H168"/>
    <mergeCell ref="G169:H169"/>
    <mergeCell ref="C172:D172"/>
    <mergeCell ref="C173:D173"/>
    <mergeCell ref="C174:D174"/>
    <mergeCell ref="E172:F172"/>
    <mergeCell ref="E173:F173"/>
    <mergeCell ref="E174:F174"/>
    <mergeCell ref="C169:D169"/>
    <mergeCell ref="C170:D170"/>
    <mergeCell ref="C171:D171"/>
    <mergeCell ref="E169:F169"/>
    <mergeCell ref="E170:F170"/>
    <mergeCell ref="E171:F171"/>
    <mergeCell ref="C178:D178"/>
    <mergeCell ref="C179:D179"/>
    <mergeCell ref="C180:D180"/>
    <mergeCell ref="E178:F178"/>
    <mergeCell ref="E179:F179"/>
    <mergeCell ref="E180:F180"/>
    <mergeCell ref="G178:H178"/>
    <mergeCell ref="C175:D175"/>
    <mergeCell ref="C176:D176"/>
    <mergeCell ref="C177:D177"/>
    <mergeCell ref="E175:F175"/>
    <mergeCell ref="E176:F176"/>
    <mergeCell ref="E177:F177"/>
    <mergeCell ref="G177:H177"/>
    <mergeCell ref="G179:H179"/>
    <mergeCell ref="G180:H180"/>
    <mergeCell ref="C184:D184"/>
    <mergeCell ref="C185:D185"/>
    <mergeCell ref="C186:D186"/>
    <mergeCell ref="E184:F184"/>
    <mergeCell ref="E185:F185"/>
    <mergeCell ref="E186:F186"/>
    <mergeCell ref="G185:H185"/>
    <mergeCell ref="C181:D181"/>
    <mergeCell ref="C182:D182"/>
    <mergeCell ref="C183:D183"/>
    <mergeCell ref="E181:F181"/>
    <mergeCell ref="E182:F182"/>
    <mergeCell ref="E183:F183"/>
    <mergeCell ref="G181:H181"/>
    <mergeCell ref="G182:H182"/>
    <mergeCell ref="G183:H183"/>
    <mergeCell ref="G184:H184"/>
    <mergeCell ref="C190:D190"/>
    <mergeCell ref="C191:D191"/>
    <mergeCell ref="C192:D192"/>
    <mergeCell ref="E190:F190"/>
    <mergeCell ref="E191:F191"/>
    <mergeCell ref="E192:F192"/>
    <mergeCell ref="G192:H192"/>
    <mergeCell ref="C187:D187"/>
    <mergeCell ref="C188:D188"/>
    <mergeCell ref="C189:D189"/>
    <mergeCell ref="E187:F187"/>
    <mergeCell ref="E188:F188"/>
    <mergeCell ref="E189:F189"/>
    <mergeCell ref="C196:D196"/>
    <mergeCell ref="C197:D197"/>
    <mergeCell ref="C198:D198"/>
    <mergeCell ref="E196:F196"/>
    <mergeCell ref="E197:F197"/>
    <mergeCell ref="E198:F198"/>
    <mergeCell ref="C193:D193"/>
    <mergeCell ref="C194:D194"/>
    <mergeCell ref="C195:D195"/>
    <mergeCell ref="E193:F193"/>
    <mergeCell ref="E194:F194"/>
    <mergeCell ref="E195:F195"/>
    <mergeCell ref="C203:D203"/>
    <mergeCell ref="C204:D204"/>
    <mergeCell ref="E202:F202"/>
    <mergeCell ref="E203:F203"/>
    <mergeCell ref="E204:F204"/>
    <mergeCell ref="C199:D199"/>
    <mergeCell ref="C200:D200"/>
    <mergeCell ref="C201:D201"/>
    <mergeCell ref="E199:F199"/>
    <mergeCell ref="E200:F200"/>
    <mergeCell ref="E201:F201"/>
    <mergeCell ref="C211:D211"/>
    <mergeCell ref="C212:D212"/>
    <mergeCell ref="E211:F211"/>
    <mergeCell ref="E212:F212"/>
    <mergeCell ref="C208:D208"/>
    <mergeCell ref="C209:D209"/>
    <mergeCell ref="C210:D210"/>
    <mergeCell ref="E208:F208"/>
    <mergeCell ref="E209:F209"/>
    <mergeCell ref="E210:F210"/>
    <mergeCell ref="C205:D205"/>
    <mergeCell ref="C206:D206"/>
    <mergeCell ref="C207:D207"/>
    <mergeCell ref="E205:F205"/>
    <mergeCell ref="E206:F206"/>
    <mergeCell ref="E207:F207"/>
    <mergeCell ref="G207:H207"/>
    <mergeCell ref="G29:H29"/>
    <mergeCell ref="G30:H30"/>
    <mergeCell ref="G31:H31"/>
    <mergeCell ref="G32:H32"/>
    <mergeCell ref="G33:H33"/>
    <mergeCell ref="G34:H34"/>
    <mergeCell ref="G47:H47"/>
    <mergeCell ref="G48:H48"/>
    <mergeCell ref="G49:H49"/>
    <mergeCell ref="G59:H59"/>
    <mergeCell ref="G60:H60"/>
    <mergeCell ref="G61:H61"/>
    <mergeCell ref="G62:H62"/>
    <mergeCell ref="G63:H63"/>
    <mergeCell ref="G64:H64"/>
    <mergeCell ref="G51:H51"/>
    <mergeCell ref="C202:D202"/>
    <mergeCell ref="G21:H21"/>
    <mergeCell ref="G22:H22"/>
    <mergeCell ref="G23:H23"/>
    <mergeCell ref="G24:H24"/>
    <mergeCell ref="G25:H25"/>
    <mergeCell ref="G26:H26"/>
    <mergeCell ref="G44:H44"/>
    <mergeCell ref="G45:H45"/>
    <mergeCell ref="G46:H46"/>
    <mergeCell ref="G36:H36"/>
    <mergeCell ref="G37:H37"/>
    <mergeCell ref="G38:H38"/>
    <mergeCell ref="G39:H39"/>
    <mergeCell ref="G40:H40"/>
    <mergeCell ref="G41:H41"/>
    <mergeCell ref="G52:H52"/>
    <mergeCell ref="G53:H53"/>
    <mergeCell ref="G54:H54"/>
    <mergeCell ref="G55:H55"/>
    <mergeCell ref="G56:H56"/>
    <mergeCell ref="G74:H74"/>
    <mergeCell ref="G75:H75"/>
    <mergeCell ref="G76:H76"/>
    <mergeCell ref="G77:H77"/>
    <mergeCell ref="G66:H66"/>
    <mergeCell ref="G67:H67"/>
    <mergeCell ref="G68:H68"/>
    <mergeCell ref="G69:H69"/>
    <mergeCell ref="G70:H70"/>
    <mergeCell ref="G71:H71"/>
    <mergeCell ref="G81:H81"/>
    <mergeCell ref="G82:H82"/>
    <mergeCell ref="G83:H83"/>
    <mergeCell ref="G84:H84"/>
    <mergeCell ref="G85:H85"/>
    <mergeCell ref="G86:H86"/>
    <mergeCell ref="G104:H104"/>
    <mergeCell ref="G105:H105"/>
    <mergeCell ref="G106:H106"/>
    <mergeCell ref="G96:H96"/>
    <mergeCell ref="G97:H97"/>
    <mergeCell ref="G98:H98"/>
    <mergeCell ref="G99:H99"/>
    <mergeCell ref="G100:H100"/>
    <mergeCell ref="G101:H101"/>
    <mergeCell ref="G111:H111"/>
    <mergeCell ref="G112:H112"/>
    <mergeCell ref="G113:H113"/>
    <mergeCell ref="G114:H114"/>
    <mergeCell ref="G115:H115"/>
    <mergeCell ref="G116:H116"/>
    <mergeCell ref="G134:H134"/>
    <mergeCell ref="G135:H135"/>
    <mergeCell ref="G136:H136"/>
    <mergeCell ref="G126:H126"/>
    <mergeCell ref="G127:H127"/>
    <mergeCell ref="G128:H128"/>
    <mergeCell ref="G129:H129"/>
    <mergeCell ref="G130:H130"/>
    <mergeCell ref="G131:H131"/>
    <mergeCell ref="G174:H174"/>
    <mergeCell ref="G175:H175"/>
    <mergeCell ref="G176:H176"/>
    <mergeCell ref="G209:H209"/>
    <mergeCell ref="G210:H210"/>
    <mergeCell ref="G211:H211"/>
    <mergeCell ref="G141:H141"/>
    <mergeCell ref="G142:H142"/>
    <mergeCell ref="G143:H143"/>
    <mergeCell ref="G144:H144"/>
    <mergeCell ref="G145:H145"/>
    <mergeCell ref="G146:H146"/>
    <mergeCell ref="G164:H164"/>
    <mergeCell ref="G165:H165"/>
    <mergeCell ref="G166:H166"/>
    <mergeCell ref="G156:H156"/>
    <mergeCell ref="G157:H157"/>
    <mergeCell ref="G158:H158"/>
    <mergeCell ref="G159:H159"/>
    <mergeCell ref="G160:H160"/>
    <mergeCell ref="G161:H161"/>
    <mergeCell ref="G208:H208"/>
    <mergeCell ref="G200:H200"/>
    <mergeCell ref="G193:H193"/>
    <mergeCell ref="G212:H212"/>
    <mergeCell ref="E1:F1"/>
    <mergeCell ref="G1:H1"/>
    <mergeCell ref="G201:H201"/>
    <mergeCell ref="G202:H202"/>
    <mergeCell ref="G203:H203"/>
    <mergeCell ref="G204:H204"/>
    <mergeCell ref="G205:H205"/>
    <mergeCell ref="G206:H206"/>
    <mergeCell ref="G194:H194"/>
    <mergeCell ref="G195:H195"/>
    <mergeCell ref="G196:H196"/>
    <mergeCell ref="G197:H197"/>
    <mergeCell ref="G198:H198"/>
    <mergeCell ref="G199:H199"/>
    <mergeCell ref="G186:H186"/>
    <mergeCell ref="G187:H187"/>
    <mergeCell ref="G188:H188"/>
    <mergeCell ref="G189:H189"/>
    <mergeCell ref="G190:H190"/>
    <mergeCell ref="G191:H191"/>
    <mergeCell ref="G171:H171"/>
    <mergeCell ref="G172:H172"/>
    <mergeCell ref="G173:H173"/>
  </mergeCells>
  <conditionalFormatting sqref="B13:B212">
    <cfRule type="expression" dxfId="58" priority="1">
      <formula>$L13="YES"</formula>
    </cfRule>
  </conditionalFormatting>
  <dataValidations count="1">
    <dataValidation type="date" allowBlank="1" showInputMessage="1" showErrorMessage="1" prompt="Use MM/DD/YYYY format.  Leave blank until date is needed. " sqref="B13:B212" xr:uid="{00000000-0002-0000-0200-000000000000}">
      <formula1>36526</formula1>
      <formula2>47848</formula2>
    </dataValidation>
  </dataValidations>
  <pageMargins left="0.25" right="0.25"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4"/>
  <sheetViews>
    <sheetView workbookViewId="0">
      <pane ySplit="1" topLeftCell="A2" activePane="bottomLeft" state="frozen"/>
      <selection pane="bottomLeft" activeCell="B15" sqref="B15:N412"/>
    </sheetView>
  </sheetViews>
  <sheetFormatPr defaultRowHeight="15" x14ac:dyDescent="0.25"/>
  <cols>
    <col min="2" max="2" width="12.7109375" customWidth="1"/>
    <col min="3" max="3" width="13.85546875" customWidth="1"/>
    <col min="4" max="7" width="12.7109375" customWidth="1"/>
    <col min="8" max="8" width="15.7109375" customWidth="1"/>
    <col min="9" max="9" width="12.7109375" customWidth="1"/>
    <col min="10" max="11" width="15" customWidth="1"/>
    <col min="12" max="12" width="11" customWidth="1"/>
    <col min="13" max="13" width="12.7109375" customWidth="1"/>
    <col min="14" max="14" width="45.7109375" customWidth="1"/>
  </cols>
  <sheetData>
    <row r="1" spans="1:14" ht="30" x14ac:dyDescent="0.25">
      <c r="A1" s="82" t="s">
        <v>23</v>
      </c>
      <c r="B1" s="113" t="s">
        <v>108</v>
      </c>
      <c r="C1" s="114" t="s">
        <v>109</v>
      </c>
      <c r="D1" s="93" t="s">
        <v>110</v>
      </c>
      <c r="E1" s="83" t="s">
        <v>111</v>
      </c>
      <c r="F1" s="94" t="s">
        <v>112</v>
      </c>
      <c r="G1" s="84" t="s">
        <v>113</v>
      </c>
      <c r="H1" s="95" t="s">
        <v>114</v>
      </c>
      <c r="I1" s="84" t="s">
        <v>115</v>
      </c>
      <c r="J1" s="96" t="s">
        <v>18</v>
      </c>
      <c r="K1" s="97" t="s">
        <v>133</v>
      </c>
      <c r="L1" s="85" t="s">
        <v>116</v>
      </c>
      <c r="M1" s="98" t="s">
        <v>117</v>
      </c>
      <c r="N1" s="82" t="s">
        <v>118</v>
      </c>
    </row>
    <row r="2" spans="1:14" ht="15.75" x14ac:dyDescent="0.25">
      <c r="A2" s="417" t="s">
        <v>352</v>
      </c>
      <c r="B2" s="418"/>
      <c r="C2" s="418"/>
      <c r="D2" s="418"/>
      <c r="E2" s="418"/>
      <c r="F2" s="418"/>
      <c r="G2" s="418"/>
      <c r="H2" s="418"/>
      <c r="I2" s="418"/>
      <c r="J2" s="418"/>
      <c r="K2" s="418"/>
      <c r="L2" s="418"/>
      <c r="M2" s="418"/>
      <c r="N2" s="419"/>
    </row>
    <row r="3" spans="1:14" x14ac:dyDescent="0.25">
      <c r="A3" s="420" t="s">
        <v>351</v>
      </c>
      <c r="B3" s="421"/>
      <c r="C3" s="421"/>
      <c r="D3" s="421"/>
      <c r="E3" s="421"/>
      <c r="F3" s="421"/>
      <c r="G3" s="421"/>
      <c r="H3" s="421"/>
      <c r="I3" s="421"/>
      <c r="J3" s="421"/>
      <c r="K3" s="421"/>
      <c r="L3" s="421"/>
      <c r="M3" s="421"/>
      <c r="N3" s="422"/>
    </row>
    <row r="4" spans="1:14" x14ac:dyDescent="0.25">
      <c r="A4" s="423" t="s">
        <v>46</v>
      </c>
      <c r="B4" s="424"/>
      <c r="C4" s="424"/>
      <c r="D4" s="424"/>
      <c r="E4" s="424"/>
      <c r="F4" s="424"/>
      <c r="G4" s="424"/>
      <c r="H4" s="424"/>
      <c r="I4" s="424"/>
      <c r="J4" s="424"/>
      <c r="K4" s="424"/>
      <c r="L4" s="424"/>
      <c r="M4" s="424"/>
      <c r="N4" s="425"/>
    </row>
    <row r="5" spans="1:14" ht="15.75" x14ac:dyDescent="0.25">
      <c r="A5" s="432" t="s">
        <v>33</v>
      </c>
      <c r="B5" s="432"/>
      <c r="C5" s="432"/>
      <c r="D5" s="432"/>
      <c r="E5" s="434" t="s">
        <v>45</v>
      </c>
      <c r="F5" s="434"/>
      <c r="G5" s="434"/>
      <c r="H5" s="434"/>
      <c r="I5" s="432" t="s">
        <v>32</v>
      </c>
      <c r="J5" s="432"/>
      <c r="K5" s="432"/>
      <c r="L5" s="432"/>
      <c r="M5" s="433"/>
      <c r="N5" s="433"/>
    </row>
    <row r="6" spans="1:14" ht="15.75" x14ac:dyDescent="0.25">
      <c r="A6" s="432" t="s">
        <v>31</v>
      </c>
      <c r="B6" s="432"/>
      <c r="C6" s="432"/>
      <c r="D6" s="432"/>
      <c r="E6" s="434"/>
      <c r="F6" s="434"/>
      <c r="G6" s="434"/>
      <c r="H6" s="434"/>
      <c r="I6" s="432" t="s">
        <v>30</v>
      </c>
      <c r="J6" s="432"/>
      <c r="K6" s="432"/>
      <c r="L6" s="432"/>
      <c r="M6" s="445"/>
      <c r="N6" s="445"/>
    </row>
    <row r="7" spans="1:14" ht="15.75" x14ac:dyDescent="0.25">
      <c r="A7" s="435" t="s">
        <v>29</v>
      </c>
      <c r="B7" s="435"/>
      <c r="C7" s="435"/>
      <c r="D7" s="435"/>
      <c r="E7" s="426"/>
      <c r="F7" s="427"/>
      <c r="G7" s="427"/>
      <c r="H7" s="428"/>
      <c r="I7" s="432" t="s">
        <v>124</v>
      </c>
      <c r="J7" s="432"/>
      <c r="K7" s="432"/>
      <c r="L7" s="432"/>
      <c r="M7" s="445"/>
      <c r="N7" s="445"/>
    </row>
    <row r="8" spans="1:14" ht="15.75" x14ac:dyDescent="0.25">
      <c r="A8" s="435"/>
      <c r="B8" s="435"/>
      <c r="C8" s="435"/>
      <c r="D8" s="435"/>
      <c r="E8" s="429"/>
      <c r="F8" s="430"/>
      <c r="G8" s="430"/>
      <c r="H8" s="431"/>
      <c r="I8" s="432" t="s">
        <v>136</v>
      </c>
      <c r="J8" s="432"/>
      <c r="K8" s="432"/>
      <c r="L8" s="432"/>
      <c r="M8" s="445"/>
      <c r="N8" s="445"/>
    </row>
    <row r="9" spans="1:14" ht="15.75" x14ac:dyDescent="0.25">
      <c r="A9" s="448" t="s">
        <v>27</v>
      </c>
      <c r="B9" s="448"/>
      <c r="C9" s="448"/>
      <c r="D9" s="448"/>
      <c r="E9" s="447" t="s">
        <v>89</v>
      </c>
      <c r="F9" s="447"/>
      <c r="G9" s="447">
        <v>2023</v>
      </c>
      <c r="H9" s="447"/>
      <c r="I9" s="446" t="s">
        <v>125</v>
      </c>
      <c r="J9" s="446"/>
      <c r="K9" s="446"/>
      <c r="L9" s="446"/>
      <c r="M9" s="445"/>
      <c r="N9" s="445"/>
    </row>
    <row r="10" spans="1:14" x14ac:dyDescent="0.25">
      <c r="A10" s="438" t="s">
        <v>126</v>
      </c>
      <c r="B10" s="439"/>
      <c r="C10" s="439"/>
      <c r="D10" s="439"/>
      <c r="E10" s="439"/>
      <c r="F10" s="439"/>
      <c r="G10" s="439"/>
      <c r="H10" s="439"/>
      <c r="I10" s="439"/>
      <c r="J10" s="439"/>
      <c r="K10" s="439"/>
      <c r="L10" s="439"/>
      <c r="M10" s="439"/>
      <c r="N10" s="439"/>
    </row>
    <row r="11" spans="1:14" ht="39.950000000000003" customHeight="1" x14ac:dyDescent="0.25">
      <c r="A11" s="79" t="s">
        <v>25</v>
      </c>
      <c r="B11" s="80"/>
      <c r="C11" s="81"/>
      <c r="D11" s="442" t="s">
        <v>44</v>
      </c>
      <c r="E11" s="443"/>
      <c r="F11" s="443"/>
      <c r="G11" s="443"/>
      <c r="H11" s="443"/>
      <c r="I11" s="443"/>
      <c r="J11" s="443"/>
      <c r="K11" s="443"/>
      <c r="L11" s="443"/>
      <c r="M11" s="443"/>
      <c r="N11" s="444"/>
    </row>
    <row r="12" spans="1:14" x14ac:dyDescent="0.25">
      <c r="A12" s="440" t="s">
        <v>127</v>
      </c>
      <c r="B12" s="441"/>
      <c r="C12" s="441"/>
      <c r="D12" s="441"/>
      <c r="E12" s="441"/>
      <c r="F12" s="441"/>
      <c r="G12" s="441"/>
      <c r="H12" s="441"/>
      <c r="I12" s="441"/>
      <c r="J12" s="441"/>
      <c r="K12" s="441"/>
      <c r="L12" s="441"/>
      <c r="M12" s="441"/>
      <c r="N12" s="441"/>
    </row>
    <row r="13" spans="1:14" ht="39.950000000000003" customHeight="1" x14ac:dyDescent="0.25">
      <c r="A13" s="436" t="s">
        <v>358</v>
      </c>
      <c r="B13" s="437"/>
      <c r="C13" s="437"/>
      <c r="D13" s="437"/>
      <c r="E13" s="437"/>
      <c r="F13" s="437"/>
      <c r="G13" s="437"/>
      <c r="H13" s="437"/>
      <c r="I13" s="437"/>
      <c r="J13" s="437"/>
      <c r="K13" s="437"/>
      <c r="L13" s="437"/>
      <c r="M13" s="437"/>
      <c r="N13" s="437"/>
    </row>
    <row r="14" spans="1:14" ht="48" x14ac:dyDescent="0.25">
      <c r="A14" s="86" t="s">
        <v>23</v>
      </c>
      <c r="B14" s="111" t="s">
        <v>134</v>
      </c>
      <c r="C14" s="112" t="s">
        <v>135</v>
      </c>
      <c r="D14" s="93" t="s">
        <v>119</v>
      </c>
      <c r="E14" s="83" t="s">
        <v>111</v>
      </c>
      <c r="F14" s="100" t="s">
        <v>120</v>
      </c>
      <c r="G14" s="84" t="s">
        <v>113</v>
      </c>
      <c r="H14" s="95" t="s">
        <v>114</v>
      </c>
      <c r="I14" s="84" t="s">
        <v>115</v>
      </c>
      <c r="J14" s="96" t="s">
        <v>18</v>
      </c>
      <c r="K14" s="97" t="s">
        <v>133</v>
      </c>
      <c r="L14" s="87" t="s">
        <v>121</v>
      </c>
      <c r="M14" s="98" t="s">
        <v>117</v>
      </c>
      <c r="N14" s="88" t="s">
        <v>118</v>
      </c>
    </row>
    <row r="15" spans="1:14" ht="39.950000000000003" customHeight="1" x14ac:dyDescent="0.25">
      <c r="A15" s="125">
        <f>ROW(A1)</f>
        <v>1</v>
      </c>
      <c r="B15" s="181"/>
      <c r="C15" s="182"/>
      <c r="D15" s="117"/>
      <c r="E15" s="101"/>
      <c r="F15" s="118"/>
      <c r="G15" s="122"/>
      <c r="H15" s="119"/>
      <c r="I15" s="101"/>
      <c r="J15" s="120"/>
      <c r="K15" s="126"/>
      <c r="L15" s="123"/>
      <c r="M15" s="121"/>
      <c r="N15" s="124"/>
    </row>
    <row r="16" spans="1:14" ht="39.950000000000003" customHeight="1" x14ac:dyDescent="0.25">
      <c r="A16" s="125">
        <f t="shared" ref="A16:A79" si="0">ROW(A2)</f>
        <v>2</v>
      </c>
      <c r="B16" s="182"/>
      <c r="C16" s="183"/>
      <c r="D16" s="99"/>
      <c r="E16" s="90"/>
      <c r="F16" s="105"/>
      <c r="G16" s="89"/>
      <c r="H16" s="101"/>
      <c r="I16" s="90"/>
      <c r="J16" s="102"/>
      <c r="K16" s="127"/>
      <c r="L16" s="91"/>
      <c r="M16" s="103"/>
      <c r="N16" s="92"/>
    </row>
    <row r="17" spans="1:14" ht="39.950000000000003" customHeight="1" x14ac:dyDescent="0.25">
      <c r="A17" s="125">
        <f t="shared" si="0"/>
        <v>3</v>
      </c>
      <c r="B17" s="181"/>
      <c r="C17" s="182"/>
      <c r="D17" s="117"/>
      <c r="E17" s="101"/>
      <c r="F17" s="118"/>
      <c r="G17" s="122"/>
      <c r="H17" s="119"/>
      <c r="I17" s="101"/>
      <c r="J17" s="120"/>
      <c r="K17" s="126"/>
      <c r="L17" s="123"/>
      <c r="M17" s="121"/>
      <c r="N17" s="124"/>
    </row>
    <row r="18" spans="1:14" ht="39.950000000000003" customHeight="1" x14ac:dyDescent="0.25">
      <c r="A18" s="125">
        <f t="shared" si="0"/>
        <v>4</v>
      </c>
      <c r="B18" s="182"/>
      <c r="C18" s="183"/>
      <c r="D18" s="99"/>
      <c r="E18" s="90"/>
      <c r="F18" s="105"/>
      <c r="G18" s="89"/>
      <c r="H18" s="101"/>
      <c r="I18" s="90"/>
      <c r="J18" s="102"/>
      <c r="K18" s="127"/>
      <c r="L18" s="91"/>
      <c r="M18" s="103"/>
      <c r="N18" s="92"/>
    </row>
    <row r="19" spans="1:14" ht="39.950000000000003" customHeight="1" x14ac:dyDescent="0.25">
      <c r="A19" s="125">
        <f t="shared" si="0"/>
        <v>5</v>
      </c>
      <c r="B19" s="181"/>
      <c r="C19" s="184"/>
      <c r="D19" s="117"/>
      <c r="E19" s="101"/>
      <c r="F19" s="118"/>
      <c r="G19" s="122"/>
      <c r="H19" s="119"/>
      <c r="I19" s="101"/>
      <c r="J19" s="120"/>
      <c r="K19" s="126"/>
      <c r="L19" s="123"/>
      <c r="M19" s="121"/>
      <c r="N19" s="124"/>
    </row>
    <row r="20" spans="1:14" ht="39.950000000000003" customHeight="1" x14ac:dyDescent="0.25">
      <c r="A20" s="125">
        <f t="shared" si="0"/>
        <v>6</v>
      </c>
      <c r="B20" s="182"/>
      <c r="C20" s="183"/>
      <c r="D20" s="99"/>
      <c r="E20" s="90"/>
      <c r="F20" s="105"/>
      <c r="G20" s="89"/>
      <c r="H20" s="101"/>
      <c r="I20" s="90"/>
      <c r="J20" s="102"/>
      <c r="K20" s="127"/>
      <c r="L20" s="91"/>
      <c r="M20" s="103"/>
      <c r="N20" s="92"/>
    </row>
    <row r="21" spans="1:14" ht="39.950000000000003" customHeight="1" x14ac:dyDescent="0.25">
      <c r="A21" s="125">
        <f t="shared" si="0"/>
        <v>7</v>
      </c>
      <c r="B21" s="181"/>
      <c r="C21" s="182"/>
      <c r="D21" s="117"/>
      <c r="E21" s="101"/>
      <c r="F21" s="118"/>
      <c r="G21" s="122"/>
      <c r="H21" s="119"/>
      <c r="I21" s="101"/>
      <c r="J21" s="120"/>
      <c r="K21" s="126"/>
      <c r="L21" s="123"/>
      <c r="M21" s="121"/>
      <c r="N21" s="124"/>
    </row>
    <row r="22" spans="1:14" ht="39.950000000000003" customHeight="1" x14ac:dyDescent="0.25">
      <c r="A22" s="125">
        <f t="shared" si="0"/>
        <v>8</v>
      </c>
      <c r="B22" s="182"/>
      <c r="C22" s="183"/>
      <c r="D22" s="99"/>
      <c r="E22" s="90"/>
      <c r="F22" s="105"/>
      <c r="G22" s="89"/>
      <c r="H22" s="101"/>
      <c r="I22" s="90"/>
      <c r="J22" s="102"/>
      <c r="K22" s="127"/>
      <c r="L22" s="91"/>
      <c r="M22" s="103"/>
      <c r="N22" s="92"/>
    </row>
    <row r="23" spans="1:14" ht="39.950000000000003" customHeight="1" x14ac:dyDescent="0.25">
      <c r="A23" s="125">
        <f t="shared" si="0"/>
        <v>9</v>
      </c>
      <c r="B23" s="181"/>
      <c r="C23" s="182"/>
      <c r="D23" s="117"/>
      <c r="E23" s="101"/>
      <c r="F23" s="118"/>
      <c r="G23" s="122"/>
      <c r="H23" s="119"/>
      <c r="I23" s="101"/>
      <c r="J23" s="120"/>
      <c r="K23" s="126"/>
      <c r="L23" s="123"/>
      <c r="M23" s="121"/>
      <c r="N23" s="124"/>
    </row>
    <row r="24" spans="1:14" ht="39.950000000000003" customHeight="1" x14ac:dyDescent="0.25">
      <c r="A24" s="125">
        <f t="shared" si="0"/>
        <v>10</v>
      </c>
      <c r="B24" s="182"/>
      <c r="C24" s="183"/>
      <c r="D24" s="99"/>
      <c r="E24" s="90"/>
      <c r="F24" s="105"/>
      <c r="G24" s="89"/>
      <c r="H24" s="101"/>
      <c r="I24" s="90"/>
      <c r="J24" s="102"/>
      <c r="K24" s="127"/>
      <c r="L24" s="91"/>
      <c r="M24" s="103"/>
      <c r="N24" s="92"/>
    </row>
    <row r="25" spans="1:14" ht="39.950000000000003" customHeight="1" x14ac:dyDescent="0.25">
      <c r="A25" s="125">
        <f t="shared" si="0"/>
        <v>11</v>
      </c>
      <c r="B25" s="181"/>
      <c r="C25" s="182"/>
      <c r="D25" s="117"/>
      <c r="E25" s="101"/>
      <c r="F25" s="118"/>
      <c r="G25" s="122"/>
      <c r="H25" s="119"/>
      <c r="I25" s="101"/>
      <c r="J25" s="120"/>
      <c r="K25" s="126"/>
      <c r="L25" s="123"/>
      <c r="M25" s="121"/>
      <c r="N25" s="124"/>
    </row>
    <row r="26" spans="1:14" ht="39.950000000000003" customHeight="1" x14ac:dyDescent="0.25">
      <c r="A26" s="125">
        <f t="shared" si="0"/>
        <v>12</v>
      </c>
      <c r="B26" s="182"/>
      <c r="C26" s="183"/>
      <c r="D26" s="99"/>
      <c r="E26" s="90"/>
      <c r="F26" s="105"/>
      <c r="G26" s="89"/>
      <c r="H26" s="101"/>
      <c r="I26" s="90"/>
      <c r="J26" s="102"/>
      <c r="K26" s="127"/>
      <c r="L26" s="91"/>
      <c r="M26" s="103"/>
      <c r="N26" s="92"/>
    </row>
    <row r="27" spans="1:14" ht="39.950000000000003" customHeight="1" x14ac:dyDescent="0.25">
      <c r="A27" s="125">
        <f t="shared" si="0"/>
        <v>13</v>
      </c>
      <c r="B27" s="181"/>
      <c r="C27" s="182"/>
      <c r="D27" s="117"/>
      <c r="E27" s="101"/>
      <c r="F27" s="118"/>
      <c r="G27" s="122"/>
      <c r="H27" s="119"/>
      <c r="I27" s="101"/>
      <c r="J27" s="120"/>
      <c r="K27" s="126"/>
      <c r="L27" s="123"/>
      <c r="M27" s="121"/>
      <c r="N27" s="124"/>
    </row>
    <row r="28" spans="1:14" ht="39.950000000000003" customHeight="1" x14ac:dyDescent="0.25">
      <c r="A28" s="125">
        <f t="shared" si="0"/>
        <v>14</v>
      </c>
      <c r="B28" s="182"/>
      <c r="C28" s="183"/>
      <c r="D28" s="99"/>
      <c r="E28" s="90"/>
      <c r="F28" s="105"/>
      <c r="G28" s="89"/>
      <c r="H28" s="101"/>
      <c r="I28" s="90"/>
      <c r="J28" s="102"/>
      <c r="K28" s="127"/>
      <c r="L28" s="91"/>
      <c r="M28" s="103"/>
      <c r="N28" s="92"/>
    </row>
    <row r="29" spans="1:14" ht="39.950000000000003" customHeight="1" x14ac:dyDescent="0.25">
      <c r="A29" s="125">
        <f t="shared" si="0"/>
        <v>15</v>
      </c>
      <c r="B29" s="181"/>
      <c r="C29" s="182"/>
      <c r="D29" s="117"/>
      <c r="E29" s="101"/>
      <c r="F29" s="118"/>
      <c r="G29" s="122"/>
      <c r="H29" s="119"/>
      <c r="I29" s="101"/>
      <c r="J29" s="120"/>
      <c r="K29" s="126"/>
      <c r="L29" s="123"/>
      <c r="M29" s="121"/>
      <c r="N29" s="124"/>
    </row>
    <row r="30" spans="1:14" ht="39.950000000000003" customHeight="1" x14ac:dyDescent="0.25">
      <c r="A30" s="125">
        <f t="shared" si="0"/>
        <v>16</v>
      </c>
      <c r="B30" s="182"/>
      <c r="C30" s="183"/>
      <c r="D30" s="99"/>
      <c r="E30" s="90"/>
      <c r="F30" s="105"/>
      <c r="G30" s="89"/>
      <c r="H30" s="101"/>
      <c r="I30" s="90"/>
      <c r="J30" s="102"/>
      <c r="K30" s="127"/>
      <c r="L30" s="91"/>
      <c r="M30" s="103"/>
      <c r="N30" s="92"/>
    </row>
    <row r="31" spans="1:14" ht="39.950000000000003" customHeight="1" x14ac:dyDescent="0.25">
      <c r="A31" s="125">
        <f t="shared" si="0"/>
        <v>17</v>
      </c>
      <c r="B31" s="181"/>
      <c r="C31" s="182"/>
      <c r="D31" s="117"/>
      <c r="E31" s="101"/>
      <c r="F31" s="118"/>
      <c r="G31" s="122"/>
      <c r="H31" s="119"/>
      <c r="I31" s="101"/>
      <c r="J31" s="120"/>
      <c r="K31" s="126"/>
      <c r="L31" s="123"/>
      <c r="M31" s="121"/>
      <c r="N31" s="124"/>
    </row>
    <row r="32" spans="1:14" ht="39.950000000000003" customHeight="1" x14ac:dyDescent="0.25">
      <c r="A32" s="125">
        <f t="shared" si="0"/>
        <v>18</v>
      </c>
      <c r="B32" s="182"/>
      <c r="C32" s="183"/>
      <c r="D32" s="99"/>
      <c r="E32" s="90"/>
      <c r="F32" s="105"/>
      <c r="G32" s="89"/>
      <c r="H32" s="101"/>
      <c r="I32" s="90"/>
      <c r="J32" s="102"/>
      <c r="K32" s="127"/>
      <c r="L32" s="91"/>
      <c r="M32" s="103"/>
      <c r="N32" s="92"/>
    </row>
    <row r="33" spans="1:14" ht="39.950000000000003" customHeight="1" x14ac:dyDescent="0.25">
      <c r="A33" s="125">
        <f t="shared" si="0"/>
        <v>19</v>
      </c>
      <c r="B33" s="181"/>
      <c r="C33" s="182"/>
      <c r="D33" s="117"/>
      <c r="E33" s="101"/>
      <c r="F33" s="118"/>
      <c r="G33" s="122"/>
      <c r="H33" s="119"/>
      <c r="I33" s="101"/>
      <c r="J33" s="120"/>
      <c r="K33" s="126"/>
      <c r="L33" s="123"/>
      <c r="M33" s="121"/>
      <c r="N33" s="124"/>
    </row>
    <row r="34" spans="1:14" ht="39.950000000000003" customHeight="1" x14ac:dyDescent="0.25">
      <c r="A34" s="125">
        <f t="shared" si="0"/>
        <v>20</v>
      </c>
      <c r="B34" s="182"/>
      <c r="C34" s="183"/>
      <c r="D34" s="99"/>
      <c r="E34" s="90"/>
      <c r="F34" s="105"/>
      <c r="G34" s="89"/>
      <c r="H34" s="101"/>
      <c r="I34" s="90"/>
      <c r="J34" s="102"/>
      <c r="K34" s="127"/>
      <c r="L34" s="91"/>
      <c r="M34" s="103"/>
      <c r="N34" s="92"/>
    </row>
    <row r="35" spans="1:14" ht="39.950000000000003" customHeight="1" x14ac:dyDescent="0.25">
      <c r="A35" s="125">
        <f t="shared" si="0"/>
        <v>21</v>
      </c>
      <c r="B35" s="181"/>
      <c r="C35" s="182"/>
      <c r="D35" s="117"/>
      <c r="E35" s="101"/>
      <c r="F35" s="118"/>
      <c r="G35" s="122"/>
      <c r="H35" s="119"/>
      <c r="I35" s="101"/>
      <c r="J35" s="120"/>
      <c r="K35" s="126"/>
      <c r="L35" s="123"/>
      <c r="M35" s="121"/>
      <c r="N35" s="124"/>
    </row>
    <row r="36" spans="1:14" ht="39.950000000000003" customHeight="1" x14ac:dyDescent="0.25">
      <c r="A36" s="125">
        <f t="shared" si="0"/>
        <v>22</v>
      </c>
      <c r="B36" s="182"/>
      <c r="C36" s="183"/>
      <c r="D36" s="99"/>
      <c r="E36" s="90"/>
      <c r="F36" s="105"/>
      <c r="G36" s="89"/>
      <c r="H36" s="101"/>
      <c r="I36" s="90"/>
      <c r="J36" s="102"/>
      <c r="K36" s="127"/>
      <c r="L36" s="91"/>
      <c r="M36" s="103"/>
      <c r="N36" s="92"/>
    </row>
    <row r="37" spans="1:14" ht="39.950000000000003" customHeight="1" x14ac:dyDescent="0.25">
      <c r="A37" s="125">
        <f t="shared" si="0"/>
        <v>23</v>
      </c>
      <c r="B37" s="181"/>
      <c r="C37" s="182"/>
      <c r="D37" s="117"/>
      <c r="E37" s="101"/>
      <c r="F37" s="118"/>
      <c r="G37" s="122"/>
      <c r="H37" s="119"/>
      <c r="I37" s="101"/>
      <c r="J37" s="120"/>
      <c r="K37" s="126"/>
      <c r="L37" s="123"/>
      <c r="M37" s="121"/>
      <c r="N37" s="124"/>
    </row>
    <row r="38" spans="1:14" ht="39.950000000000003" customHeight="1" x14ac:dyDescent="0.25">
      <c r="A38" s="125">
        <f t="shared" si="0"/>
        <v>24</v>
      </c>
      <c r="B38" s="182"/>
      <c r="C38" s="183"/>
      <c r="D38" s="99"/>
      <c r="E38" s="90"/>
      <c r="F38" s="105"/>
      <c r="G38" s="89"/>
      <c r="H38" s="101"/>
      <c r="I38" s="90"/>
      <c r="J38" s="102"/>
      <c r="K38" s="127"/>
      <c r="L38" s="91"/>
      <c r="M38" s="103"/>
      <c r="N38" s="92"/>
    </row>
    <row r="39" spans="1:14" ht="39.950000000000003" customHeight="1" x14ac:dyDescent="0.25">
      <c r="A39" s="125">
        <f t="shared" si="0"/>
        <v>25</v>
      </c>
      <c r="B39" s="181"/>
      <c r="C39" s="182"/>
      <c r="D39" s="117"/>
      <c r="E39" s="101"/>
      <c r="F39" s="118"/>
      <c r="G39" s="122"/>
      <c r="H39" s="119"/>
      <c r="I39" s="101"/>
      <c r="J39" s="120"/>
      <c r="K39" s="126"/>
      <c r="L39" s="123"/>
      <c r="M39" s="121"/>
      <c r="N39" s="124"/>
    </row>
    <row r="40" spans="1:14" ht="39.950000000000003" customHeight="1" x14ac:dyDescent="0.25">
      <c r="A40" s="125">
        <f t="shared" si="0"/>
        <v>26</v>
      </c>
      <c r="B40" s="182"/>
      <c r="C40" s="183"/>
      <c r="D40" s="99"/>
      <c r="E40" s="90"/>
      <c r="F40" s="105"/>
      <c r="G40" s="89"/>
      <c r="H40" s="101"/>
      <c r="I40" s="90"/>
      <c r="J40" s="102"/>
      <c r="K40" s="127"/>
      <c r="L40" s="91"/>
      <c r="M40" s="103"/>
      <c r="N40" s="92"/>
    </row>
    <row r="41" spans="1:14" ht="39.950000000000003" customHeight="1" x14ac:dyDescent="0.25">
      <c r="A41" s="125">
        <f t="shared" si="0"/>
        <v>27</v>
      </c>
      <c r="B41" s="181"/>
      <c r="C41" s="182"/>
      <c r="D41" s="117"/>
      <c r="E41" s="101"/>
      <c r="F41" s="118"/>
      <c r="G41" s="122"/>
      <c r="H41" s="119"/>
      <c r="I41" s="101"/>
      <c r="J41" s="120"/>
      <c r="K41" s="126"/>
      <c r="L41" s="123"/>
      <c r="M41" s="121"/>
      <c r="N41" s="124"/>
    </row>
    <row r="42" spans="1:14" ht="39.950000000000003" customHeight="1" x14ac:dyDescent="0.25">
      <c r="A42" s="125">
        <f t="shared" si="0"/>
        <v>28</v>
      </c>
      <c r="B42" s="182"/>
      <c r="C42" s="183"/>
      <c r="D42" s="99"/>
      <c r="E42" s="90"/>
      <c r="F42" s="105"/>
      <c r="G42" s="89"/>
      <c r="H42" s="101"/>
      <c r="I42" s="90"/>
      <c r="J42" s="102"/>
      <c r="K42" s="127"/>
      <c r="L42" s="91"/>
      <c r="M42" s="103"/>
      <c r="N42" s="92"/>
    </row>
    <row r="43" spans="1:14" ht="39.950000000000003" customHeight="1" x14ac:dyDescent="0.25">
      <c r="A43" s="125">
        <f t="shared" si="0"/>
        <v>29</v>
      </c>
      <c r="B43" s="181"/>
      <c r="C43" s="182"/>
      <c r="D43" s="117"/>
      <c r="E43" s="101"/>
      <c r="F43" s="118"/>
      <c r="G43" s="122"/>
      <c r="H43" s="119"/>
      <c r="I43" s="101"/>
      <c r="J43" s="120"/>
      <c r="K43" s="126"/>
      <c r="L43" s="123"/>
      <c r="M43" s="121"/>
      <c r="N43" s="124"/>
    </row>
    <row r="44" spans="1:14" ht="39.950000000000003" customHeight="1" x14ac:dyDescent="0.25">
      <c r="A44" s="125">
        <f t="shared" si="0"/>
        <v>30</v>
      </c>
      <c r="B44" s="182"/>
      <c r="C44" s="183"/>
      <c r="D44" s="99"/>
      <c r="E44" s="90"/>
      <c r="F44" s="105"/>
      <c r="G44" s="89"/>
      <c r="H44" s="101"/>
      <c r="I44" s="90"/>
      <c r="J44" s="102"/>
      <c r="K44" s="127"/>
      <c r="L44" s="91"/>
      <c r="M44" s="103"/>
      <c r="N44" s="92"/>
    </row>
    <row r="45" spans="1:14" ht="39.950000000000003" customHeight="1" x14ac:dyDescent="0.25">
      <c r="A45" s="125">
        <f t="shared" si="0"/>
        <v>31</v>
      </c>
      <c r="B45" s="181"/>
      <c r="C45" s="182"/>
      <c r="D45" s="117"/>
      <c r="E45" s="101"/>
      <c r="F45" s="118"/>
      <c r="G45" s="122"/>
      <c r="H45" s="119"/>
      <c r="I45" s="101"/>
      <c r="J45" s="120"/>
      <c r="K45" s="126"/>
      <c r="L45" s="123"/>
      <c r="M45" s="121"/>
      <c r="N45" s="124"/>
    </row>
    <row r="46" spans="1:14" ht="39.950000000000003" customHeight="1" x14ac:dyDescent="0.25">
      <c r="A46" s="125">
        <f t="shared" si="0"/>
        <v>32</v>
      </c>
      <c r="B46" s="182"/>
      <c r="C46" s="183"/>
      <c r="D46" s="99"/>
      <c r="E46" s="90"/>
      <c r="F46" s="105"/>
      <c r="G46" s="89"/>
      <c r="H46" s="101"/>
      <c r="I46" s="90"/>
      <c r="J46" s="102"/>
      <c r="K46" s="127"/>
      <c r="L46" s="91"/>
      <c r="M46" s="103"/>
      <c r="N46" s="92"/>
    </row>
    <row r="47" spans="1:14" ht="39.950000000000003" customHeight="1" x14ac:dyDescent="0.25">
      <c r="A47" s="125">
        <f t="shared" si="0"/>
        <v>33</v>
      </c>
      <c r="B47" s="181"/>
      <c r="C47" s="182"/>
      <c r="D47" s="117"/>
      <c r="E47" s="101"/>
      <c r="F47" s="118"/>
      <c r="G47" s="122"/>
      <c r="H47" s="119"/>
      <c r="I47" s="101"/>
      <c r="J47" s="120"/>
      <c r="K47" s="126"/>
      <c r="L47" s="123"/>
      <c r="M47" s="121"/>
      <c r="N47" s="124"/>
    </row>
    <row r="48" spans="1:14" ht="39.950000000000003" customHeight="1" x14ac:dyDescent="0.25">
      <c r="A48" s="125">
        <f t="shared" si="0"/>
        <v>34</v>
      </c>
      <c r="B48" s="182"/>
      <c r="C48" s="183"/>
      <c r="D48" s="99"/>
      <c r="E48" s="90"/>
      <c r="F48" s="105"/>
      <c r="G48" s="89"/>
      <c r="H48" s="101"/>
      <c r="I48" s="90"/>
      <c r="J48" s="102"/>
      <c r="K48" s="127"/>
      <c r="L48" s="91"/>
      <c r="M48" s="103"/>
      <c r="N48" s="92"/>
    </row>
    <row r="49" spans="1:14" ht="39.950000000000003" customHeight="1" x14ac:dyDescent="0.25">
      <c r="A49" s="125">
        <f t="shared" si="0"/>
        <v>35</v>
      </c>
      <c r="B49" s="181"/>
      <c r="C49" s="182"/>
      <c r="D49" s="117"/>
      <c r="E49" s="101"/>
      <c r="F49" s="118"/>
      <c r="G49" s="122"/>
      <c r="H49" s="119"/>
      <c r="I49" s="101"/>
      <c r="J49" s="120"/>
      <c r="K49" s="126"/>
      <c r="L49" s="123"/>
      <c r="M49" s="121"/>
      <c r="N49" s="124"/>
    </row>
    <row r="50" spans="1:14" ht="39.950000000000003" customHeight="1" x14ac:dyDescent="0.25">
      <c r="A50" s="125">
        <f t="shared" si="0"/>
        <v>36</v>
      </c>
      <c r="B50" s="182"/>
      <c r="C50" s="183"/>
      <c r="D50" s="99"/>
      <c r="E50" s="90"/>
      <c r="F50" s="105"/>
      <c r="G50" s="89"/>
      <c r="H50" s="101"/>
      <c r="I50" s="90"/>
      <c r="J50" s="102"/>
      <c r="K50" s="127"/>
      <c r="L50" s="91"/>
      <c r="M50" s="103"/>
      <c r="N50" s="92"/>
    </row>
    <row r="51" spans="1:14" ht="39.950000000000003" customHeight="1" x14ac:dyDescent="0.25">
      <c r="A51" s="125">
        <f t="shared" si="0"/>
        <v>37</v>
      </c>
      <c r="B51" s="181"/>
      <c r="C51" s="182"/>
      <c r="D51" s="117"/>
      <c r="E51" s="101"/>
      <c r="F51" s="118"/>
      <c r="G51" s="122"/>
      <c r="H51" s="119"/>
      <c r="I51" s="101"/>
      <c r="J51" s="120"/>
      <c r="K51" s="126"/>
      <c r="L51" s="123"/>
      <c r="M51" s="121"/>
      <c r="N51" s="124"/>
    </row>
    <row r="52" spans="1:14" ht="39.950000000000003" customHeight="1" x14ac:dyDescent="0.25">
      <c r="A52" s="125">
        <f t="shared" si="0"/>
        <v>38</v>
      </c>
      <c r="B52" s="182"/>
      <c r="C52" s="183"/>
      <c r="D52" s="99"/>
      <c r="E52" s="90"/>
      <c r="F52" s="105"/>
      <c r="G52" s="89"/>
      <c r="H52" s="101"/>
      <c r="I52" s="90"/>
      <c r="J52" s="102"/>
      <c r="K52" s="127"/>
      <c r="L52" s="91"/>
      <c r="M52" s="103"/>
      <c r="N52" s="92"/>
    </row>
    <row r="53" spans="1:14" ht="39.950000000000003" customHeight="1" x14ac:dyDescent="0.25">
      <c r="A53" s="125">
        <f t="shared" si="0"/>
        <v>39</v>
      </c>
      <c r="B53" s="181"/>
      <c r="C53" s="182"/>
      <c r="D53" s="117"/>
      <c r="E53" s="101"/>
      <c r="F53" s="118"/>
      <c r="G53" s="122"/>
      <c r="H53" s="119"/>
      <c r="I53" s="101"/>
      <c r="J53" s="120"/>
      <c r="K53" s="126"/>
      <c r="L53" s="123"/>
      <c r="M53" s="121"/>
      <c r="N53" s="124"/>
    </row>
    <row r="54" spans="1:14" ht="39.950000000000003" customHeight="1" x14ac:dyDescent="0.25">
      <c r="A54" s="125">
        <f t="shared" si="0"/>
        <v>40</v>
      </c>
      <c r="B54" s="182"/>
      <c r="C54" s="183"/>
      <c r="D54" s="99"/>
      <c r="E54" s="90"/>
      <c r="F54" s="105"/>
      <c r="G54" s="89"/>
      <c r="H54" s="101"/>
      <c r="I54" s="90"/>
      <c r="J54" s="102"/>
      <c r="K54" s="127"/>
      <c r="L54" s="91"/>
      <c r="M54" s="103"/>
      <c r="N54" s="92"/>
    </row>
    <row r="55" spans="1:14" ht="39.950000000000003" customHeight="1" x14ac:dyDescent="0.25">
      <c r="A55" s="125">
        <f t="shared" si="0"/>
        <v>41</v>
      </c>
      <c r="B55" s="181"/>
      <c r="C55" s="182"/>
      <c r="D55" s="117"/>
      <c r="E55" s="101"/>
      <c r="F55" s="118"/>
      <c r="G55" s="122"/>
      <c r="H55" s="119"/>
      <c r="I55" s="101"/>
      <c r="J55" s="120"/>
      <c r="K55" s="126"/>
      <c r="L55" s="123"/>
      <c r="M55" s="121"/>
      <c r="N55" s="124"/>
    </row>
    <row r="56" spans="1:14" ht="39.950000000000003" customHeight="1" x14ac:dyDescent="0.25">
      <c r="A56" s="125">
        <f t="shared" si="0"/>
        <v>42</v>
      </c>
      <c r="B56" s="182"/>
      <c r="C56" s="183"/>
      <c r="D56" s="99"/>
      <c r="E56" s="90"/>
      <c r="F56" s="105"/>
      <c r="G56" s="89"/>
      <c r="H56" s="101"/>
      <c r="I56" s="90"/>
      <c r="J56" s="102"/>
      <c r="K56" s="127"/>
      <c r="L56" s="91"/>
      <c r="M56" s="103"/>
      <c r="N56" s="92"/>
    </row>
    <row r="57" spans="1:14" ht="39.950000000000003" customHeight="1" x14ac:dyDescent="0.25">
      <c r="A57" s="125">
        <f t="shared" si="0"/>
        <v>43</v>
      </c>
      <c r="B57" s="181"/>
      <c r="C57" s="182"/>
      <c r="D57" s="117"/>
      <c r="E57" s="101"/>
      <c r="F57" s="118"/>
      <c r="G57" s="122"/>
      <c r="H57" s="119"/>
      <c r="I57" s="101"/>
      <c r="J57" s="120"/>
      <c r="K57" s="126"/>
      <c r="L57" s="123"/>
      <c r="M57" s="121"/>
      <c r="N57" s="124"/>
    </row>
    <row r="58" spans="1:14" ht="39.950000000000003" customHeight="1" x14ac:dyDescent="0.25">
      <c r="A58" s="125">
        <f t="shared" si="0"/>
        <v>44</v>
      </c>
      <c r="B58" s="182"/>
      <c r="C58" s="183"/>
      <c r="D58" s="99"/>
      <c r="E58" s="90"/>
      <c r="F58" s="105"/>
      <c r="G58" s="89"/>
      <c r="H58" s="101"/>
      <c r="I58" s="90"/>
      <c r="J58" s="102"/>
      <c r="K58" s="127"/>
      <c r="L58" s="91"/>
      <c r="M58" s="103"/>
      <c r="N58" s="92"/>
    </row>
    <row r="59" spans="1:14" ht="39.950000000000003" customHeight="1" x14ac:dyDescent="0.25">
      <c r="A59" s="125">
        <f t="shared" si="0"/>
        <v>45</v>
      </c>
      <c r="B59" s="181"/>
      <c r="C59" s="182"/>
      <c r="D59" s="117"/>
      <c r="E59" s="101"/>
      <c r="F59" s="118"/>
      <c r="G59" s="122"/>
      <c r="H59" s="119"/>
      <c r="I59" s="101"/>
      <c r="J59" s="120"/>
      <c r="K59" s="126"/>
      <c r="L59" s="123"/>
      <c r="M59" s="121"/>
      <c r="N59" s="124"/>
    </row>
    <row r="60" spans="1:14" ht="39.950000000000003" customHeight="1" x14ac:dyDescent="0.25">
      <c r="A60" s="125">
        <f t="shared" si="0"/>
        <v>46</v>
      </c>
      <c r="B60" s="182"/>
      <c r="C60" s="183"/>
      <c r="D60" s="99"/>
      <c r="E60" s="90"/>
      <c r="F60" s="105"/>
      <c r="G60" s="89"/>
      <c r="H60" s="101"/>
      <c r="I60" s="90"/>
      <c r="J60" s="102"/>
      <c r="K60" s="127"/>
      <c r="L60" s="91"/>
      <c r="M60" s="103"/>
      <c r="N60" s="92"/>
    </row>
    <row r="61" spans="1:14" ht="39.950000000000003" customHeight="1" x14ac:dyDescent="0.25">
      <c r="A61" s="125">
        <f t="shared" si="0"/>
        <v>47</v>
      </c>
      <c r="B61" s="181"/>
      <c r="C61" s="182"/>
      <c r="D61" s="117"/>
      <c r="E61" s="101"/>
      <c r="F61" s="118"/>
      <c r="G61" s="122"/>
      <c r="H61" s="119"/>
      <c r="I61" s="101"/>
      <c r="J61" s="120"/>
      <c r="K61" s="126"/>
      <c r="L61" s="123"/>
      <c r="M61" s="121"/>
      <c r="N61" s="124"/>
    </row>
    <row r="62" spans="1:14" ht="39.950000000000003" customHeight="1" x14ac:dyDescent="0.25">
      <c r="A62" s="125">
        <f t="shared" si="0"/>
        <v>48</v>
      </c>
      <c r="B62" s="182"/>
      <c r="C62" s="183"/>
      <c r="D62" s="99"/>
      <c r="E62" s="90"/>
      <c r="F62" s="105"/>
      <c r="G62" s="89"/>
      <c r="H62" s="101"/>
      <c r="I62" s="90"/>
      <c r="J62" s="102"/>
      <c r="K62" s="127"/>
      <c r="L62" s="91"/>
      <c r="M62" s="103"/>
      <c r="N62" s="92"/>
    </row>
    <row r="63" spans="1:14" ht="39.950000000000003" customHeight="1" x14ac:dyDescent="0.25">
      <c r="A63" s="125">
        <f t="shared" si="0"/>
        <v>49</v>
      </c>
      <c r="B63" s="181"/>
      <c r="C63" s="182"/>
      <c r="D63" s="117"/>
      <c r="E63" s="101"/>
      <c r="F63" s="118"/>
      <c r="G63" s="122"/>
      <c r="H63" s="119"/>
      <c r="I63" s="101"/>
      <c r="J63" s="120"/>
      <c r="K63" s="126"/>
      <c r="L63" s="123"/>
      <c r="M63" s="121"/>
      <c r="N63" s="124"/>
    </row>
    <row r="64" spans="1:14" ht="39.950000000000003" customHeight="1" x14ac:dyDescent="0.25">
      <c r="A64" s="125">
        <f t="shared" si="0"/>
        <v>50</v>
      </c>
      <c r="B64" s="182"/>
      <c r="C64" s="183"/>
      <c r="D64" s="99"/>
      <c r="E64" s="90"/>
      <c r="F64" s="105"/>
      <c r="G64" s="89"/>
      <c r="H64" s="101"/>
      <c r="I64" s="90"/>
      <c r="J64" s="102"/>
      <c r="K64" s="127"/>
      <c r="L64" s="91"/>
      <c r="M64" s="103"/>
      <c r="N64" s="92"/>
    </row>
    <row r="65" spans="1:14" ht="39.950000000000003" customHeight="1" x14ac:dyDescent="0.25">
      <c r="A65" s="125">
        <f t="shared" si="0"/>
        <v>51</v>
      </c>
      <c r="B65" s="181"/>
      <c r="C65" s="182"/>
      <c r="D65" s="117"/>
      <c r="E65" s="101"/>
      <c r="F65" s="118"/>
      <c r="G65" s="122"/>
      <c r="H65" s="119"/>
      <c r="I65" s="101"/>
      <c r="J65" s="120"/>
      <c r="K65" s="126"/>
      <c r="L65" s="123"/>
      <c r="M65" s="121"/>
      <c r="N65" s="124"/>
    </row>
    <row r="66" spans="1:14" ht="39.950000000000003" customHeight="1" x14ac:dyDescent="0.25">
      <c r="A66" s="125">
        <f t="shared" si="0"/>
        <v>52</v>
      </c>
      <c r="B66" s="182"/>
      <c r="C66" s="183"/>
      <c r="D66" s="99"/>
      <c r="E66" s="90"/>
      <c r="F66" s="105"/>
      <c r="G66" s="89"/>
      <c r="H66" s="101"/>
      <c r="I66" s="90"/>
      <c r="J66" s="102"/>
      <c r="K66" s="127"/>
      <c r="L66" s="91"/>
      <c r="M66" s="103"/>
      <c r="N66" s="92"/>
    </row>
    <row r="67" spans="1:14" ht="39.950000000000003" customHeight="1" x14ac:dyDescent="0.25">
      <c r="A67" s="125">
        <f t="shared" si="0"/>
        <v>53</v>
      </c>
      <c r="B67" s="181"/>
      <c r="C67" s="182"/>
      <c r="D67" s="117"/>
      <c r="E67" s="101"/>
      <c r="F67" s="118"/>
      <c r="G67" s="122"/>
      <c r="H67" s="119"/>
      <c r="I67" s="101"/>
      <c r="J67" s="120"/>
      <c r="K67" s="126"/>
      <c r="L67" s="123"/>
      <c r="M67" s="121"/>
      <c r="N67" s="124"/>
    </row>
    <row r="68" spans="1:14" ht="39.950000000000003" customHeight="1" x14ac:dyDescent="0.25">
      <c r="A68" s="125">
        <f t="shared" si="0"/>
        <v>54</v>
      </c>
      <c r="B68" s="182"/>
      <c r="C68" s="183"/>
      <c r="D68" s="99"/>
      <c r="E68" s="90"/>
      <c r="F68" s="105"/>
      <c r="G68" s="89"/>
      <c r="H68" s="101"/>
      <c r="I68" s="90"/>
      <c r="J68" s="102"/>
      <c r="K68" s="127"/>
      <c r="L68" s="91"/>
      <c r="M68" s="103"/>
      <c r="N68" s="92"/>
    </row>
    <row r="69" spans="1:14" ht="39.950000000000003" customHeight="1" x14ac:dyDescent="0.25">
      <c r="A69" s="125">
        <f t="shared" si="0"/>
        <v>55</v>
      </c>
      <c r="B69" s="181"/>
      <c r="C69" s="182"/>
      <c r="D69" s="117"/>
      <c r="E69" s="101"/>
      <c r="F69" s="118"/>
      <c r="G69" s="122"/>
      <c r="H69" s="119"/>
      <c r="I69" s="101"/>
      <c r="J69" s="120"/>
      <c r="K69" s="126"/>
      <c r="L69" s="123"/>
      <c r="M69" s="121"/>
      <c r="N69" s="124"/>
    </row>
    <row r="70" spans="1:14" ht="39.950000000000003" customHeight="1" x14ac:dyDescent="0.25">
      <c r="A70" s="125">
        <f t="shared" si="0"/>
        <v>56</v>
      </c>
      <c r="B70" s="182"/>
      <c r="C70" s="183"/>
      <c r="D70" s="99"/>
      <c r="E70" s="90"/>
      <c r="F70" s="105"/>
      <c r="G70" s="89"/>
      <c r="H70" s="101"/>
      <c r="I70" s="90"/>
      <c r="J70" s="102"/>
      <c r="K70" s="127"/>
      <c r="L70" s="91"/>
      <c r="M70" s="103"/>
      <c r="N70" s="92"/>
    </row>
    <row r="71" spans="1:14" ht="39.950000000000003" customHeight="1" x14ac:dyDescent="0.25">
      <c r="A71" s="125">
        <f t="shared" si="0"/>
        <v>57</v>
      </c>
      <c r="B71" s="181"/>
      <c r="C71" s="182"/>
      <c r="D71" s="117"/>
      <c r="E71" s="101"/>
      <c r="F71" s="118"/>
      <c r="G71" s="122"/>
      <c r="H71" s="119"/>
      <c r="I71" s="101"/>
      <c r="J71" s="120"/>
      <c r="K71" s="126"/>
      <c r="L71" s="123"/>
      <c r="M71" s="121"/>
      <c r="N71" s="124"/>
    </row>
    <row r="72" spans="1:14" ht="39.950000000000003" customHeight="1" x14ac:dyDescent="0.25">
      <c r="A72" s="125">
        <f t="shared" si="0"/>
        <v>58</v>
      </c>
      <c r="B72" s="182"/>
      <c r="C72" s="183"/>
      <c r="D72" s="99"/>
      <c r="E72" s="90"/>
      <c r="F72" s="105"/>
      <c r="G72" s="89"/>
      <c r="H72" s="101"/>
      <c r="I72" s="90"/>
      <c r="J72" s="102"/>
      <c r="K72" s="127"/>
      <c r="L72" s="91"/>
      <c r="M72" s="103"/>
      <c r="N72" s="92"/>
    </row>
    <row r="73" spans="1:14" ht="39.950000000000003" customHeight="1" x14ac:dyDescent="0.25">
      <c r="A73" s="125">
        <f t="shared" si="0"/>
        <v>59</v>
      </c>
      <c r="B73" s="181"/>
      <c r="C73" s="182"/>
      <c r="D73" s="117"/>
      <c r="E73" s="101"/>
      <c r="F73" s="118"/>
      <c r="G73" s="122"/>
      <c r="H73" s="119"/>
      <c r="I73" s="101"/>
      <c r="J73" s="120"/>
      <c r="K73" s="126"/>
      <c r="L73" s="123"/>
      <c r="M73" s="121"/>
      <c r="N73" s="124"/>
    </row>
    <row r="74" spans="1:14" ht="39.950000000000003" customHeight="1" x14ac:dyDescent="0.25">
      <c r="A74" s="125">
        <f t="shared" si="0"/>
        <v>60</v>
      </c>
      <c r="B74" s="182"/>
      <c r="C74" s="183"/>
      <c r="D74" s="99"/>
      <c r="E74" s="90"/>
      <c r="F74" s="105"/>
      <c r="G74" s="89"/>
      <c r="H74" s="101"/>
      <c r="I74" s="90"/>
      <c r="J74" s="102"/>
      <c r="K74" s="127"/>
      <c r="L74" s="91"/>
      <c r="M74" s="103"/>
      <c r="N74" s="92"/>
    </row>
    <row r="75" spans="1:14" ht="39.950000000000003" customHeight="1" x14ac:dyDescent="0.25">
      <c r="A75" s="125">
        <f t="shared" si="0"/>
        <v>61</v>
      </c>
      <c r="B75" s="181"/>
      <c r="C75" s="182"/>
      <c r="D75" s="117"/>
      <c r="E75" s="101"/>
      <c r="F75" s="118"/>
      <c r="G75" s="122"/>
      <c r="H75" s="119"/>
      <c r="I75" s="101"/>
      <c r="J75" s="120"/>
      <c r="K75" s="126"/>
      <c r="L75" s="123"/>
      <c r="M75" s="121"/>
      <c r="N75" s="124"/>
    </row>
    <row r="76" spans="1:14" ht="39.950000000000003" customHeight="1" x14ac:dyDescent="0.25">
      <c r="A76" s="125">
        <f t="shared" si="0"/>
        <v>62</v>
      </c>
      <c r="B76" s="182"/>
      <c r="C76" s="183"/>
      <c r="D76" s="99"/>
      <c r="E76" s="90"/>
      <c r="F76" s="105"/>
      <c r="G76" s="89"/>
      <c r="H76" s="101"/>
      <c r="I76" s="90"/>
      <c r="J76" s="102"/>
      <c r="K76" s="127"/>
      <c r="L76" s="91"/>
      <c r="M76" s="103"/>
      <c r="N76" s="92"/>
    </row>
    <row r="77" spans="1:14" ht="39.950000000000003" customHeight="1" x14ac:dyDescent="0.25">
      <c r="A77" s="125">
        <f t="shared" si="0"/>
        <v>63</v>
      </c>
      <c r="B77" s="181"/>
      <c r="C77" s="182"/>
      <c r="D77" s="117"/>
      <c r="E77" s="101"/>
      <c r="F77" s="118"/>
      <c r="G77" s="122"/>
      <c r="H77" s="119"/>
      <c r="I77" s="101"/>
      <c r="J77" s="120"/>
      <c r="K77" s="126"/>
      <c r="L77" s="123"/>
      <c r="M77" s="121"/>
      <c r="N77" s="124"/>
    </row>
    <row r="78" spans="1:14" ht="39.950000000000003" customHeight="1" x14ac:dyDescent="0.25">
      <c r="A78" s="125">
        <f t="shared" si="0"/>
        <v>64</v>
      </c>
      <c r="B78" s="182"/>
      <c r="C78" s="183"/>
      <c r="D78" s="99"/>
      <c r="E78" s="90"/>
      <c r="F78" s="105"/>
      <c r="G78" s="89"/>
      <c r="H78" s="101"/>
      <c r="I78" s="90"/>
      <c r="J78" s="102"/>
      <c r="K78" s="127"/>
      <c r="L78" s="91"/>
      <c r="M78" s="103"/>
      <c r="N78" s="92"/>
    </row>
    <row r="79" spans="1:14" ht="39.950000000000003" customHeight="1" x14ac:dyDescent="0.25">
      <c r="A79" s="125">
        <f t="shared" si="0"/>
        <v>65</v>
      </c>
      <c r="B79" s="181"/>
      <c r="C79" s="182"/>
      <c r="D79" s="117"/>
      <c r="E79" s="101"/>
      <c r="F79" s="118"/>
      <c r="G79" s="122"/>
      <c r="H79" s="119"/>
      <c r="I79" s="101"/>
      <c r="J79" s="120"/>
      <c r="K79" s="126"/>
      <c r="L79" s="123"/>
      <c r="M79" s="121"/>
      <c r="N79" s="124"/>
    </row>
    <row r="80" spans="1:14" ht="39.950000000000003" customHeight="1" x14ac:dyDescent="0.25">
      <c r="A80" s="125">
        <f t="shared" ref="A80:A143" si="1">ROW(A66)</f>
        <v>66</v>
      </c>
      <c r="B80" s="182"/>
      <c r="C80" s="183"/>
      <c r="D80" s="99"/>
      <c r="E80" s="90"/>
      <c r="F80" s="105"/>
      <c r="G80" s="89"/>
      <c r="H80" s="101"/>
      <c r="I80" s="90"/>
      <c r="J80" s="102"/>
      <c r="K80" s="127"/>
      <c r="L80" s="91"/>
      <c r="M80" s="103"/>
      <c r="N80" s="92"/>
    </row>
    <row r="81" spans="1:14" ht="39.950000000000003" customHeight="1" x14ac:dyDescent="0.25">
      <c r="A81" s="125">
        <f t="shared" si="1"/>
        <v>67</v>
      </c>
      <c r="B81" s="181"/>
      <c r="C81" s="182"/>
      <c r="D81" s="117"/>
      <c r="E81" s="101"/>
      <c r="F81" s="118"/>
      <c r="G81" s="122"/>
      <c r="H81" s="119"/>
      <c r="I81" s="101"/>
      <c r="J81" s="120"/>
      <c r="K81" s="126"/>
      <c r="L81" s="123"/>
      <c r="M81" s="121"/>
      <c r="N81" s="124"/>
    </row>
    <row r="82" spans="1:14" ht="39.950000000000003" customHeight="1" x14ac:dyDescent="0.25">
      <c r="A82" s="125">
        <f t="shared" si="1"/>
        <v>68</v>
      </c>
      <c r="B82" s="182"/>
      <c r="C82" s="183"/>
      <c r="D82" s="99"/>
      <c r="E82" s="90"/>
      <c r="F82" s="105"/>
      <c r="G82" s="89"/>
      <c r="H82" s="101"/>
      <c r="I82" s="90"/>
      <c r="J82" s="102"/>
      <c r="K82" s="127"/>
      <c r="L82" s="91"/>
      <c r="M82" s="103"/>
      <c r="N82" s="92"/>
    </row>
    <row r="83" spans="1:14" ht="39.950000000000003" customHeight="1" x14ac:dyDescent="0.25">
      <c r="A83" s="125">
        <f t="shared" si="1"/>
        <v>69</v>
      </c>
      <c r="B83" s="181"/>
      <c r="C83" s="182"/>
      <c r="D83" s="117"/>
      <c r="E83" s="101"/>
      <c r="F83" s="118"/>
      <c r="G83" s="122"/>
      <c r="H83" s="119"/>
      <c r="I83" s="101"/>
      <c r="J83" s="120"/>
      <c r="K83" s="126"/>
      <c r="L83" s="123"/>
      <c r="M83" s="121"/>
      <c r="N83" s="124"/>
    </row>
    <row r="84" spans="1:14" ht="39.950000000000003" customHeight="1" x14ac:dyDescent="0.25">
      <c r="A84" s="125">
        <f t="shared" si="1"/>
        <v>70</v>
      </c>
      <c r="B84" s="182"/>
      <c r="C84" s="183"/>
      <c r="D84" s="99"/>
      <c r="E84" s="90"/>
      <c r="F84" s="105"/>
      <c r="G84" s="89"/>
      <c r="H84" s="101"/>
      <c r="I84" s="90"/>
      <c r="J84" s="102"/>
      <c r="K84" s="127"/>
      <c r="L84" s="91"/>
      <c r="M84" s="103"/>
      <c r="N84" s="92"/>
    </row>
    <row r="85" spans="1:14" ht="39.950000000000003" customHeight="1" x14ac:dyDescent="0.25">
      <c r="A85" s="125">
        <f t="shared" si="1"/>
        <v>71</v>
      </c>
      <c r="B85" s="181"/>
      <c r="C85" s="182"/>
      <c r="D85" s="117"/>
      <c r="E85" s="101"/>
      <c r="F85" s="118"/>
      <c r="G85" s="122"/>
      <c r="H85" s="119"/>
      <c r="I85" s="101"/>
      <c r="J85" s="120"/>
      <c r="K85" s="126"/>
      <c r="L85" s="123"/>
      <c r="M85" s="121"/>
      <c r="N85" s="124"/>
    </row>
    <row r="86" spans="1:14" ht="39.950000000000003" customHeight="1" x14ac:dyDescent="0.25">
      <c r="A86" s="125">
        <f t="shared" si="1"/>
        <v>72</v>
      </c>
      <c r="B86" s="182"/>
      <c r="C86" s="183"/>
      <c r="D86" s="99"/>
      <c r="E86" s="90"/>
      <c r="F86" s="105"/>
      <c r="G86" s="89"/>
      <c r="H86" s="101"/>
      <c r="I86" s="90"/>
      <c r="J86" s="102"/>
      <c r="K86" s="127"/>
      <c r="L86" s="91"/>
      <c r="M86" s="103"/>
      <c r="N86" s="92"/>
    </row>
    <row r="87" spans="1:14" ht="39.950000000000003" customHeight="1" x14ac:dyDescent="0.25">
      <c r="A87" s="125">
        <f t="shared" si="1"/>
        <v>73</v>
      </c>
      <c r="B87" s="181"/>
      <c r="C87" s="182"/>
      <c r="D87" s="117"/>
      <c r="E87" s="101"/>
      <c r="F87" s="118"/>
      <c r="G87" s="122"/>
      <c r="H87" s="119"/>
      <c r="I87" s="101"/>
      <c r="J87" s="120"/>
      <c r="K87" s="126"/>
      <c r="L87" s="123"/>
      <c r="M87" s="121"/>
      <c r="N87" s="124"/>
    </row>
    <row r="88" spans="1:14" ht="39.950000000000003" customHeight="1" x14ac:dyDescent="0.25">
      <c r="A88" s="125">
        <f t="shared" si="1"/>
        <v>74</v>
      </c>
      <c r="B88" s="182"/>
      <c r="C88" s="183"/>
      <c r="D88" s="99"/>
      <c r="E88" s="90"/>
      <c r="F88" s="105"/>
      <c r="G88" s="89"/>
      <c r="H88" s="101"/>
      <c r="I88" s="90"/>
      <c r="J88" s="102"/>
      <c r="K88" s="127"/>
      <c r="L88" s="91"/>
      <c r="M88" s="103"/>
      <c r="N88" s="92"/>
    </row>
    <row r="89" spans="1:14" ht="39.950000000000003" customHeight="1" x14ac:dyDescent="0.25">
      <c r="A89" s="125">
        <f t="shared" si="1"/>
        <v>75</v>
      </c>
      <c r="B89" s="181"/>
      <c r="C89" s="182"/>
      <c r="D89" s="117"/>
      <c r="E89" s="101"/>
      <c r="F89" s="118"/>
      <c r="G89" s="122"/>
      <c r="H89" s="119"/>
      <c r="I89" s="101"/>
      <c r="J89" s="120"/>
      <c r="K89" s="126"/>
      <c r="L89" s="123"/>
      <c r="M89" s="121"/>
      <c r="N89" s="124"/>
    </row>
    <row r="90" spans="1:14" ht="39.950000000000003" customHeight="1" x14ac:dyDescent="0.25">
      <c r="A90" s="125">
        <f t="shared" si="1"/>
        <v>76</v>
      </c>
      <c r="B90" s="182"/>
      <c r="C90" s="183"/>
      <c r="D90" s="99"/>
      <c r="E90" s="90"/>
      <c r="F90" s="105"/>
      <c r="G90" s="89"/>
      <c r="H90" s="101"/>
      <c r="I90" s="90"/>
      <c r="J90" s="102"/>
      <c r="K90" s="127"/>
      <c r="L90" s="91"/>
      <c r="M90" s="103"/>
      <c r="N90" s="92"/>
    </row>
    <row r="91" spans="1:14" ht="39.950000000000003" customHeight="1" x14ac:dyDescent="0.25">
      <c r="A91" s="125">
        <f t="shared" si="1"/>
        <v>77</v>
      </c>
      <c r="B91" s="181"/>
      <c r="C91" s="182"/>
      <c r="D91" s="117"/>
      <c r="E91" s="101"/>
      <c r="F91" s="118"/>
      <c r="G91" s="122"/>
      <c r="H91" s="119"/>
      <c r="I91" s="101"/>
      <c r="J91" s="120"/>
      <c r="K91" s="126"/>
      <c r="L91" s="123"/>
      <c r="M91" s="121"/>
      <c r="N91" s="124"/>
    </row>
    <row r="92" spans="1:14" ht="39.950000000000003" customHeight="1" x14ac:dyDescent="0.25">
      <c r="A92" s="125">
        <f t="shared" si="1"/>
        <v>78</v>
      </c>
      <c r="B92" s="182"/>
      <c r="C92" s="183"/>
      <c r="D92" s="99"/>
      <c r="E92" s="90"/>
      <c r="F92" s="105"/>
      <c r="G92" s="89"/>
      <c r="H92" s="101"/>
      <c r="I92" s="90"/>
      <c r="J92" s="102"/>
      <c r="K92" s="127"/>
      <c r="L92" s="91"/>
      <c r="M92" s="103"/>
      <c r="N92" s="92"/>
    </row>
    <row r="93" spans="1:14" ht="39.950000000000003" customHeight="1" x14ac:dyDescent="0.25">
      <c r="A93" s="125">
        <f t="shared" si="1"/>
        <v>79</v>
      </c>
      <c r="B93" s="181"/>
      <c r="C93" s="182"/>
      <c r="D93" s="117"/>
      <c r="E93" s="101"/>
      <c r="F93" s="118"/>
      <c r="G93" s="122"/>
      <c r="H93" s="119"/>
      <c r="I93" s="101"/>
      <c r="J93" s="120"/>
      <c r="K93" s="126"/>
      <c r="L93" s="123"/>
      <c r="M93" s="121"/>
      <c r="N93" s="124"/>
    </row>
    <row r="94" spans="1:14" ht="39.950000000000003" customHeight="1" x14ac:dyDescent="0.25">
      <c r="A94" s="125">
        <f t="shared" si="1"/>
        <v>80</v>
      </c>
      <c r="B94" s="182"/>
      <c r="C94" s="183"/>
      <c r="D94" s="99"/>
      <c r="E94" s="90"/>
      <c r="F94" s="105"/>
      <c r="G94" s="89"/>
      <c r="H94" s="101"/>
      <c r="I94" s="90"/>
      <c r="J94" s="102"/>
      <c r="K94" s="127"/>
      <c r="L94" s="91"/>
      <c r="M94" s="103"/>
      <c r="N94" s="92"/>
    </row>
    <row r="95" spans="1:14" ht="39.950000000000003" customHeight="1" x14ac:dyDescent="0.25">
      <c r="A95" s="125">
        <f t="shared" si="1"/>
        <v>81</v>
      </c>
      <c r="B95" s="181"/>
      <c r="C95" s="182"/>
      <c r="D95" s="117"/>
      <c r="E95" s="101"/>
      <c r="F95" s="118"/>
      <c r="G95" s="122"/>
      <c r="H95" s="119"/>
      <c r="I95" s="101"/>
      <c r="J95" s="120"/>
      <c r="K95" s="126"/>
      <c r="L95" s="123"/>
      <c r="M95" s="121"/>
      <c r="N95" s="124"/>
    </row>
    <row r="96" spans="1:14" ht="39.950000000000003" customHeight="1" x14ac:dyDescent="0.25">
      <c r="A96" s="125">
        <f t="shared" si="1"/>
        <v>82</v>
      </c>
      <c r="B96" s="182"/>
      <c r="C96" s="183"/>
      <c r="D96" s="99"/>
      <c r="E96" s="90"/>
      <c r="F96" s="105"/>
      <c r="G96" s="89"/>
      <c r="H96" s="101"/>
      <c r="I96" s="90"/>
      <c r="J96" s="102"/>
      <c r="K96" s="127"/>
      <c r="L96" s="91"/>
      <c r="M96" s="103"/>
      <c r="N96" s="92"/>
    </row>
    <row r="97" spans="1:14" ht="39.950000000000003" customHeight="1" x14ac:dyDescent="0.25">
      <c r="A97" s="125">
        <f t="shared" si="1"/>
        <v>83</v>
      </c>
      <c r="B97" s="181"/>
      <c r="C97" s="182"/>
      <c r="D97" s="117"/>
      <c r="E97" s="101"/>
      <c r="F97" s="118"/>
      <c r="G97" s="122"/>
      <c r="H97" s="119"/>
      <c r="I97" s="101"/>
      <c r="J97" s="120"/>
      <c r="K97" s="126"/>
      <c r="L97" s="123"/>
      <c r="M97" s="121"/>
      <c r="N97" s="124"/>
    </row>
    <row r="98" spans="1:14" ht="39.950000000000003" customHeight="1" x14ac:dyDescent="0.25">
      <c r="A98" s="125">
        <f t="shared" si="1"/>
        <v>84</v>
      </c>
      <c r="B98" s="182"/>
      <c r="C98" s="183"/>
      <c r="D98" s="99"/>
      <c r="E98" s="90"/>
      <c r="F98" s="105"/>
      <c r="G98" s="89"/>
      <c r="H98" s="101"/>
      <c r="I98" s="90"/>
      <c r="J98" s="102"/>
      <c r="K98" s="127"/>
      <c r="L98" s="91"/>
      <c r="M98" s="103"/>
      <c r="N98" s="92"/>
    </row>
    <row r="99" spans="1:14" ht="39.950000000000003" customHeight="1" x14ac:dyDescent="0.25">
      <c r="A99" s="125">
        <f t="shared" si="1"/>
        <v>85</v>
      </c>
      <c r="B99" s="181"/>
      <c r="C99" s="182"/>
      <c r="D99" s="117"/>
      <c r="E99" s="101"/>
      <c r="F99" s="118"/>
      <c r="G99" s="122"/>
      <c r="H99" s="119"/>
      <c r="I99" s="101"/>
      <c r="J99" s="120"/>
      <c r="K99" s="126"/>
      <c r="L99" s="123"/>
      <c r="M99" s="121"/>
      <c r="N99" s="124"/>
    </row>
    <row r="100" spans="1:14" ht="39.950000000000003" customHeight="1" x14ac:dyDescent="0.25">
      <c r="A100" s="125">
        <f t="shared" si="1"/>
        <v>86</v>
      </c>
      <c r="B100" s="182"/>
      <c r="C100" s="183"/>
      <c r="D100" s="99"/>
      <c r="E100" s="90"/>
      <c r="F100" s="105"/>
      <c r="G100" s="89"/>
      <c r="H100" s="101"/>
      <c r="I100" s="90"/>
      <c r="J100" s="102"/>
      <c r="K100" s="127"/>
      <c r="L100" s="91"/>
      <c r="M100" s="103"/>
      <c r="N100" s="92"/>
    </row>
    <row r="101" spans="1:14" ht="39.950000000000003" customHeight="1" x14ac:dyDescent="0.25">
      <c r="A101" s="125">
        <f t="shared" si="1"/>
        <v>87</v>
      </c>
      <c r="B101" s="181"/>
      <c r="C101" s="182"/>
      <c r="D101" s="117"/>
      <c r="E101" s="101"/>
      <c r="F101" s="118"/>
      <c r="G101" s="122"/>
      <c r="H101" s="119"/>
      <c r="I101" s="101"/>
      <c r="J101" s="120"/>
      <c r="K101" s="126"/>
      <c r="L101" s="123"/>
      <c r="M101" s="121"/>
      <c r="N101" s="124"/>
    </row>
    <row r="102" spans="1:14" ht="39.950000000000003" customHeight="1" x14ac:dyDescent="0.25">
      <c r="A102" s="125">
        <f t="shared" si="1"/>
        <v>88</v>
      </c>
      <c r="B102" s="182"/>
      <c r="C102" s="183"/>
      <c r="D102" s="99"/>
      <c r="E102" s="90"/>
      <c r="F102" s="105"/>
      <c r="G102" s="89"/>
      <c r="H102" s="101"/>
      <c r="I102" s="90"/>
      <c r="J102" s="102"/>
      <c r="K102" s="127"/>
      <c r="L102" s="91"/>
      <c r="M102" s="103"/>
      <c r="N102" s="92"/>
    </row>
    <row r="103" spans="1:14" ht="39.950000000000003" customHeight="1" x14ac:dyDescent="0.25">
      <c r="A103" s="125">
        <f t="shared" si="1"/>
        <v>89</v>
      </c>
      <c r="B103" s="181"/>
      <c r="C103" s="182"/>
      <c r="D103" s="117"/>
      <c r="E103" s="101"/>
      <c r="F103" s="118"/>
      <c r="G103" s="122"/>
      <c r="H103" s="119"/>
      <c r="I103" s="101"/>
      <c r="J103" s="120"/>
      <c r="K103" s="126"/>
      <c r="L103" s="123"/>
      <c r="M103" s="121"/>
      <c r="N103" s="124"/>
    </row>
    <row r="104" spans="1:14" ht="39.950000000000003" customHeight="1" x14ac:dyDescent="0.25">
      <c r="A104" s="125">
        <f t="shared" si="1"/>
        <v>90</v>
      </c>
      <c r="B104" s="182"/>
      <c r="C104" s="183"/>
      <c r="D104" s="99"/>
      <c r="E104" s="90"/>
      <c r="F104" s="105"/>
      <c r="G104" s="89"/>
      <c r="H104" s="101"/>
      <c r="I104" s="90"/>
      <c r="J104" s="102"/>
      <c r="K104" s="127"/>
      <c r="L104" s="91"/>
      <c r="M104" s="103"/>
      <c r="N104" s="92"/>
    </row>
    <row r="105" spans="1:14" ht="39.950000000000003" customHeight="1" x14ac:dyDescent="0.25">
      <c r="A105" s="125">
        <f t="shared" si="1"/>
        <v>91</v>
      </c>
      <c r="B105" s="181"/>
      <c r="C105" s="182"/>
      <c r="D105" s="117"/>
      <c r="E105" s="101"/>
      <c r="F105" s="118"/>
      <c r="G105" s="122"/>
      <c r="H105" s="119"/>
      <c r="I105" s="101"/>
      <c r="J105" s="120"/>
      <c r="K105" s="126"/>
      <c r="L105" s="123"/>
      <c r="M105" s="121"/>
      <c r="N105" s="124"/>
    </row>
    <row r="106" spans="1:14" ht="39.950000000000003" customHeight="1" x14ac:dyDescent="0.25">
      <c r="A106" s="125">
        <f t="shared" si="1"/>
        <v>92</v>
      </c>
      <c r="B106" s="182"/>
      <c r="C106" s="183"/>
      <c r="D106" s="99"/>
      <c r="E106" s="90"/>
      <c r="F106" s="105"/>
      <c r="G106" s="89"/>
      <c r="H106" s="101"/>
      <c r="I106" s="90"/>
      <c r="J106" s="102"/>
      <c r="K106" s="127"/>
      <c r="L106" s="91"/>
      <c r="M106" s="103"/>
      <c r="N106" s="92"/>
    </row>
    <row r="107" spans="1:14" ht="39.950000000000003" customHeight="1" x14ac:dyDescent="0.25">
      <c r="A107" s="125">
        <f t="shared" si="1"/>
        <v>93</v>
      </c>
      <c r="B107" s="181"/>
      <c r="C107" s="182"/>
      <c r="D107" s="117"/>
      <c r="E107" s="101"/>
      <c r="F107" s="118"/>
      <c r="G107" s="122"/>
      <c r="H107" s="119"/>
      <c r="I107" s="101"/>
      <c r="J107" s="120"/>
      <c r="K107" s="126"/>
      <c r="L107" s="123"/>
      <c r="M107" s="121"/>
      <c r="N107" s="124"/>
    </row>
    <row r="108" spans="1:14" ht="39.950000000000003" customHeight="1" x14ac:dyDescent="0.25">
      <c r="A108" s="125">
        <f t="shared" si="1"/>
        <v>94</v>
      </c>
      <c r="B108" s="182"/>
      <c r="C108" s="183"/>
      <c r="D108" s="99"/>
      <c r="E108" s="90"/>
      <c r="F108" s="105"/>
      <c r="G108" s="89"/>
      <c r="H108" s="101"/>
      <c r="I108" s="90"/>
      <c r="J108" s="102"/>
      <c r="K108" s="127"/>
      <c r="L108" s="91"/>
      <c r="M108" s="103"/>
      <c r="N108" s="92"/>
    </row>
    <row r="109" spans="1:14" ht="39.950000000000003" customHeight="1" x14ac:dyDescent="0.25">
      <c r="A109" s="125">
        <f t="shared" si="1"/>
        <v>95</v>
      </c>
      <c r="B109" s="181"/>
      <c r="C109" s="182"/>
      <c r="D109" s="117"/>
      <c r="E109" s="101"/>
      <c r="F109" s="118"/>
      <c r="G109" s="122"/>
      <c r="H109" s="119"/>
      <c r="I109" s="101"/>
      <c r="J109" s="120"/>
      <c r="K109" s="126"/>
      <c r="L109" s="123"/>
      <c r="M109" s="121"/>
      <c r="N109" s="124"/>
    </row>
    <row r="110" spans="1:14" ht="39.950000000000003" customHeight="1" x14ac:dyDescent="0.25">
      <c r="A110" s="125">
        <f t="shared" si="1"/>
        <v>96</v>
      </c>
      <c r="B110" s="182"/>
      <c r="C110" s="183"/>
      <c r="D110" s="99"/>
      <c r="E110" s="90"/>
      <c r="F110" s="105"/>
      <c r="G110" s="89"/>
      <c r="H110" s="101"/>
      <c r="I110" s="90"/>
      <c r="J110" s="102"/>
      <c r="K110" s="127"/>
      <c r="L110" s="91"/>
      <c r="M110" s="103"/>
      <c r="N110" s="92"/>
    </row>
    <row r="111" spans="1:14" ht="39.950000000000003" customHeight="1" x14ac:dyDescent="0.25">
      <c r="A111" s="125">
        <f t="shared" si="1"/>
        <v>97</v>
      </c>
      <c r="B111" s="181"/>
      <c r="C111" s="182"/>
      <c r="D111" s="117"/>
      <c r="E111" s="101"/>
      <c r="F111" s="118"/>
      <c r="G111" s="122"/>
      <c r="H111" s="119"/>
      <c r="I111" s="101"/>
      <c r="J111" s="120"/>
      <c r="K111" s="126"/>
      <c r="L111" s="123"/>
      <c r="M111" s="121"/>
      <c r="N111" s="124"/>
    </row>
    <row r="112" spans="1:14" ht="39.950000000000003" customHeight="1" x14ac:dyDescent="0.25">
      <c r="A112" s="125">
        <f t="shared" si="1"/>
        <v>98</v>
      </c>
      <c r="B112" s="182"/>
      <c r="C112" s="183"/>
      <c r="D112" s="99"/>
      <c r="E112" s="90"/>
      <c r="F112" s="105"/>
      <c r="G112" s="89"/>
      <c r="H112" s="101"/>
      <c r="I112" s="90"/>
      <c r="J112" s="102"/>
      <c r="K112" s="127"/>
      <c r="L112" s="91"/>
      <c r="M112" s="103"/>
      <c r="N112" s="92"/>
    </row>
    <row r="113" spans="1:14" ht="39.950000000000003" customHeight="1" x14ac:dyDescent="0.25">
      <c r="A113" s="125">
        <f t="shared" si="1"/>
        <v>99</v>
      </c>
      <c r="B113" s="181"/>
      <c r="C113" s="182"/>
      <c r="D113" s="117"/>
      <c r="E113" s="101"/>
      <c r="F113" s="118"/>
      <c r="G113" s="122"/>
      <c r="H113" s="119"/>
      <c r="I113" s="101"/>
      <c r="J113" s="120"/>
      <c r="K113" s="126"/>
      <c r="L113" s="123"/>
      <c r="M113" s="121"/>
      <c r="N113" s="124"/>
    </row>
    <row r="114" spans="1:14" ht="39.950000000000003" customHeight="1" x14ac:dyDescent="0.25">
      <c r="A114" s="125">
        <f t="shared" si="1"/>
        <v>100</v>
      </c>
      <c r="B114" s="182"/>
      <c r="C114" s="183"/>
      <c r="D114" s="99"/>
      <c r="E114" s="90"/>
      <c r="F114" s="105"/>
      <c r="G114" s="89"/>
      <c r="H114" s="101"/>
      <c r="I114" s="90"/>
      <c r="J114" s="102"/>
      <c r="K114" s="127"/>
      <c r="L114" s="91"/>
      <c r="M114" s="103"/>
      <c r="N114" s="92"/>
    </row>
    <row r="115" spans="1:14" ht="39.950000000000003" customHeight="1" x14ac:dyDescent="0.25">
      <c r="A115" s="125">
        <f t="shared" si="1"/>
        <v>101</v>
      </c>
      <c r="B115" s="181"/>
      <c r="C115" s="182"/>
      <c r="D115" s="117"/>
      <c r="E115" s="101"/>
      <c r="F115" s="118"/>
      <c r="G115" s="122"/>
      <c r="H115" s="119"/>
      <c r="I115" s="101"/>
      <c r="J115" s="120"/>
      <c r="K115" s="126"/>
      <c r="L115" s="123"/>
      <c r="M115" s="121"/>
      <c r="N115" s="124"/>
    </row>
    <row r="116" spans="1:14" ht="39.950000000000003" customHeight="1" x14ac:dyDescent="0.25">
      <c r="A116" s="125">
        <f t="shared" si="1"/>
        <v>102</v>
      </c>
      <c r="B116" s="182"/>
      <c r="C116" s="183"/>
      <c r="D116" s="99"/>
      <c r="E116" s="90"/>
      <c r="F116" s="105"/>
      <c r="G116" s="89"/>
      <c r="H116" s="101"/>
      <c r="I116" s="90"/>
      <c r="J116" s="102"/>
      <c r="K116" s="127"/>
      <c r="L116" s="91"/>
      <c r="M116" s="103"/>
      <c r="N116" s="92"/>
    </row>
    <row r="117" spans="1:14" ht="39.950000000000003" customHeight="1" x14ac:dyDescent="0.25">
      <c r="A117" s="125">
        <f t="shared" si="1"/>
        <v>103</v>
      </c>
      <c r="B117" s="181"/>
      <c r="C117" s="182"/>
      <c r="D117" s="117"/>
      <c r="E117" s="101"/>
      <c r="F117" s="118"/>
      <c r="G117" s="122"/>
      <c r="H117" s="119"/>
      <c r="I117" s="101"/>
      <c r="J117" s="120"/>
      <c r="K117" s="126"/>
      <c r="L117" s="123"/>
      <c r="M117" s="121"/>
      <c r="N117" s="124"/>
    </row>
    <row r="118" spans="1:14" ht="39.950000000000003" customHeight="1" x14ac:dyDescent="0.25">
      <c r="A118" s="125">
        <f t="shared" si="1"/>
        <v>104</v>
      </c>
      <c r="B118" s="182"/>
      <c r="C118" s="183"/>
      <c r="D118" s="99"/>
      <c r="E118" s="90"/>
      <c r="F118" s="105"/>
      <c r="G118" s="89"/>
      <c r="H118" s="101"/>
      <c r="I118" s="90"/>
      <c r="J118" s="102"/>
      <c r="K118" s="127"/>
      <c r="L118" s="91"/>
      <c r="M118" s="103"/>
      <c r="N118" s="92"/>
    </row>
    <row r="119" spans="1:14" ht="39.950000000000003" customHeight="1" x14ac:dyDescent="0.25">
      <c r="A119" s="125">
        <f t="shared" si="1"/>
        <v>105</v>
      </c>
      <c r="B119" s="181"/>
      <c r="C119" s="182"/>
      <c r="D119" s="117"/>
      <c r="E119" s="101"/>
      <c r="F119" s="118"/>
      <c r="G119" s="122"/>
      <c r="H119" s="119"/>
      <c r="I119" s="101"/>
      <c r="J119" s="120"/>
      <c r="K119" s="126"/>
      <c r="L119" s="123"/>
      <c r="M119" s="121"/>
      <c r="N119" s="124"/>
    </row>
    <row r="120" spans="1:14" ht="39.950000000000003" customHeight="1" x14ac:dyDescent="0.25">
      <c r="A120" s="125">
        <f t="shared" si="1"/>
        <v>106</v>
      </c>
      <c r="B120" s="182"/>
      <c r="C120" s="183"/>
      <c r="D120" s="99"/>
      <c r="E120" s="90"/>
      <c r="F120" s="105"/>
      <c r="G120" s="89"/>
      <c r="H120" s="101"/>
      <c r="I120" s="90"/>
      <c r="J120" s="102"/>
      <c r="K120" s="127"/>
      <c r="L120" s="91"/>
      <c r="M120" s="103"/>
      <c r="N120" s="92"/>
    </row>
    <row r="121" spans="1:14" ht="39.950000000000003" customHeight="1" x14ac:dyDescent="0.25">
      <c r="A121" s="125">
        <f t="shared" si="1"/>
        <v>107</v>
      </c>
      <c r="B121" s="181"/>
      <c r="C121" s="182"/>
      <c r="D121" s="117"/>
      <c r="E121" s="101"/>
      <c r="F121" s="118"/>
      <c r="G121" s="122"/>
      <c r="H121" s="119"/>
      <c r="I121" s="101"/>
      <c r="J121" s="120"/>
      <c r="K121" s="126"/>
      <c r="L121" s="123"/>
      <c r="M121" s="121"/>
      <c r="N121" s="124"/>
    </row>
    <row r="122" spans="1:14" ht="39.950000000000003" customHeight="1" x14ac:dyDescent="0.25">
      <c r="A122" s="125">
        <f t="shared" si="1"/>
        <v>108</v>
      </c>
      <c r="B122" s="182"/>
      <c r="C122" s="183"/>
      <c r="D122" s="99"/>
      <c r="E122" s="90"/>
      <c r="F122" s="105"/>
      <c r="G122" s="89"/>
      <c r="H122" s="101"/>
      <c r="I122" s="90"/>
      <c r="J122" s="102"/>
      <c r="K122" s="127"/>
      <c r="L122" s="91"/>
      <c r="M122" s="103"/>
      <c r="N122" s="92"/>
    </row>
    <row r="123" spans="1:14" ht="39.950000000000003" customHeight="1" x14ac:dyDescent="0.25">
      <c r="A123" s="125">
        <f t="shared" si="1"/>
        <v>109</v>
      </c>
      <c r="B123" s="181"/>
      <c r="C123" s="182"/>
      <c r="D123" s="117"/>
      <c r="E123" s="101"/>
      <c r="F123" s="118"/>
      <c r="G123" s="122"/>
      <c r="H123" s="119"/>
      <c r="I123" s="101"/>
      <c r="J123" s="120"/>
      <c r="K123" s="126"/>
      <c r="L123" s="123"/>
      <c r="M123" s="121"/>
      <c r="N123" s="124"/>
    </row>
    <row r="124" spans="1:14" ht="39.950000000000003" customHeight="1" x14ac:dyDescent="0.25">
      <c r="A124" s="125">
        <f t="shared" si="1"/>
        <v>110</v>
      </c>
      <c r="B124" s="182"/>
      <c r="C124" s="183"/>
      <c r="D124" s="99"/>
      <c r="E124" s="90"/>
      <c r="F124" s="105"/>
      <c r="G124" s="89"/>
      <c r="H124" s="101"/>
      <c r="I124" s="90"/>
      <c r="J124" s="102"/>
      <c r="K124" s="127"/>
      <c r="L124" s="91"/>
      <c r="M124" s="103"/>
      <c r="N124" s="92"/>
    </row>
    <row r="125" spans="1:14" ht="39.950000000000003" customHeight="1" x14ac:dyDescent="0.25">
      <c r="A125" s="125">
        <f t="shared" si="1"/>
        <v>111</v>
      </c>
      <c r="B125" s="181"/>
      <c r="C125" s="182"/>
      <c r="D125" s="117"/>
      <c r="E125" s="101"/>
      <c r="F125" s="118"/>
      <c r="G125" s="122"/>
      <c r="H125" s="119"/>
      <c r="I125" s="101"/>
      <c r="J125" s="120"/>
      <c r="K125" s="126"/>
      <c r="L125" s="123"/>
      <c r="M125" s="121"/>
      <c r="N125" s="124"/>
    </row>
    <row r="126" spans="1:14" ht="39.950000000000003" customHeight="1" x14ac:dyDescent="0.25">
      <c r="A126" s="125">
        <f t="shared" si="1"/>
        <v>112</v>
      </c>
      <c r="B126" s="182"/>
      <c r="C126" s="183"/>
      <c r="D126" s="99"/>
      <c r="E126" s="90"/>
      <c r="F126" s="105"/>
      <c r="G126" s="89"/>
      <c r="H126" s="101"/>
      <c r="I126" s="90"/>
      <c r="J126" s="102"/>
      <c r="K126" s="127"/>
      <c r="L126" s="91"/>
      <c r="M126" s="103"/>
      <c r="N126" s="92"/>
    </row>
    <row r="127" spans="1:14" ht="39.950000000000003" customHeight="1" x14ac:dyDescent="0.25">
      <c r="A127" s="125">
        <f t="shared" si="1"/>
        <v>113</v>
      </c>
      <c r="B127" s="181"/>
      <c r="C127" s="182"/>
      <c r="D127" s="117"/>
      <c r="E127" s="101"/>
      <c r="F127" s="118"/>
      <c r="G127" s="122"/>
      <c r="H127" s="119"/>
      <c r="I127" s="101"/>
      <c r="J127" s="120"/>
      <c r="K127" s="126"/>
      <c r="L127" s="123"/>
      <c r="M127" s="121"/>
      <c r="N127" s="124"/>
    </row>
    <row r="128" spans="1:14" ht="39.950000000000003" customHeight="1" x14ac:dyDescent="0.25">
      <c r="A128" s="125">
        <f t="shared" si="1"/>
        <v>114</v>
      </c>
      <c r="B128" s="182"/>
      <c r="C128" s="183"/>
      <c r="D128" s="99"/>
      <c r="E128" s="90"/>
      <c r="F128" s="105"/>
      <c r="G128" s="89"/>
      <c r="H128" s="101"/>
      <c r="I128" s="90"/>
      <c r="J128" s="102"/>
      <c r="K128" s="127"/>
      <c r="L128" s="91"/>
      <c r="M128" s="103"/>
      <c r="N128" s="92"/>
    </row>
    <row r="129" spans="1:14" ht="39.950000000000003" customHeight="1" x14ac:dyDescent="0.25">
      <c r="A129" s="125">
        <f t="shared" si="1"/>
        <v>115</v>
      </c>
      <c r="B129" s="181"/>
      <c r="C129" s="182"/>
      <c r="D129" s="117"/>
      <c r="E129" s="101"/>
      <c r="F129" s="118"/>
      <c r="G129" s="122"/>
      <c r="H129" s="119"/>
      <c r="I129" s="101"/>
      <c r="J129" s="120"/>
      <c r="K129" s="126"/>
      <c r="L129" s="123"/>
      <c r="M129" s="121"/>
      <c r="N129" s="124"/>
    </row>
    <row r="130" spans="1:14" ht="39.950000000000003" customHeight="1" x14ac:dyDescent="0.25">
      <c r="A130" s="125">
        <f t="shared" si="1"/>
        <v>116</v>
      </c>
      <c r="B130" s="182"/>
      <c r="C130" s="183"/>
      <c r="D130" s="99"/>
      <c r="E130" s="90"/>
      <c r="F130" s="105"/>
      <c r="G130" s="89"/>
      <c r="H130" s="101"/>
      <c r="I130" s="90"/>
      <c r="J130" s="102"/>
      <c r="K130" s="127"/>
      <c r="L130" s="91"/>
      <c r="M130" s="103"/>
      <c r="N130" s="92"/>
    </row>
    <row r="131" spans="1:14" ht="39.950000000000003" customHeight="1" x14ac:dyDescent="0.25">
      <c r="A131" s="125">
        <f t="shared" si="1"/>
        <v>117</v>
      </c>
      <c r="B131" s="181"/>
      <c r="C131" s="182"/>
      <c r="D131" s="117"/>
      <c r="E131" s="101"/>
      <c r="F131" s="118"/>
      <c r="G131" s="122"/>
      <c r="H131" s="119"/>
      <c r="I131" s="101"/>
      <c r="J131" s="120"/>
      <c r="K131" s="126"/>
      <c r="L131" s="123"/>
      <c r="M131" s="121"/>
      <c r="N131" s="124"/>
    </row>
    <row r="132" spans="1:14" ht="39.950000000000003" customHeight="1" x14ac:dyDescent="0.25">
      <c r="A132" s="125">
        <f t="shared" si="1"/>
        <v>118</v>
      </c>
      <c r="B132" s="182"/>
      <c r="C132" s="183"/>
      <c r="D132" s="99"/>
      <c r="E132" s="90"/>
      <c r="F132" s="105"/>
      <c r="G132" s="89"/>
      <c r="H132" s="101"/>
      <c r="I132" s="90"/>
      <c r="J132" s="102"/>
      <c r="K132" s="127"/>
      <c r="L132" s="91"/>
      <c r="M132" s="103"/>
      <c r="N132" s="92"/>
    </row>
    <row r="133" spans="1:14" ht="39.950000000000003" customHeight="1" x14ac:dyDescent="0.25">
      <c r="A133" s="125">
        <f t="shared" si="1"/>
        <v>119</v>
      </c>
      <c r="B133" s="181"/>
      <c r="C133" s="182"/>
      <c r="D133" s="117"/>
      <c r="E133" s="101"/>
      <c r="F133" s="118"/>
      <c r="G133" s="122"/>
      <c r="H133" s="119"/>
      <c r="I133" s="101"/>
      <c r="J133" s="120"/>
      <c r="K133" s="126"/>
      <c r="L133" s="123"/>
      <c r="M133" s="121"/>
      <c r="N133" s="124"/>
    </row>
    <row r="134" spans="1:14" ht="39.950000000000003" customHeight="1" x14ac:dyDescent="0.25">
      <c r="A134" s="125">
        <f t="shared" si="1"/>
        <v>120</v>
      </c>
      <c r="B134" s="182"/>
      <c r="C134" s="183"/>
      <c r="D134" s="99"/>
      <c r="E134" s="90"/>
      <c r="F134" s="105"/>
      <c r="G134" s="89"/>
      <c r="H134" s="101"/>
      <c r="I134" s="90"/>
      <c r="J134" s="102"/>
      <c r="K134" s="127"/>
      <c r="L134" s="91"/>
      <c r="M134" s="103"/>
      <c r="N134" s="92"/>
    </row>
    <row r="135" spans="1:14" ht="39.950000000000003" customHeight="1" x14ac:dyDescent="0.25">
      <c r="A135" s="125">
        <f t="shared" si="1"/>
        <v>121</v>
      </c>
      <c r="B135" s="181"/>
      <c r="C135" s="182"/>
      <c r="D135" s="117"/>
      <c r="E135" s="101"/>
      <c r="F135" s="118"/>
      <c r="G135" s="122"/>
      <c r="H135" s="119"/>
      <c r="I135" s="101"/>
      <c r="J135" s="120"/>
      <c r="K135" s="126"/>
      <c r="L135" s="123"/>
      <c r="M135" s="121"/>
      <c r="N135" s="124"/>
    </row>
    <row r="136" spans="1:14" ht="39.950000000000003" customHeight="1" x14ac:dyDescent="0.25">
      <c r="A136" s="125">
        <f t="shared" si="1"/>
        <v>122</v>
      </c>
      <c r="B136" s="182"/>
      <c r="C136" s="183"/>
      <c r="D136" s="99"/>
      <c r="E136" s="90"/>
      <c r="F136" s="105"/>
      <c r="G136" s="89"/>
      <c r="H136" s="101"/>
      <c r="I136" s="90"/>
      <c r="J136" s="102"/>
      <c r="K136" s="127"/>
      <c r="L136" s="91"/>
      <c r="M136" s="103"/>
      <c r="N136" s="92"/>
    </row>
    <row r="137" spans="1:14" ht="39.950000000000003" customHeight="1" x14ac:dyDescent="0.25">
      <c r="A137" s="125">
        <f t="shared" si="1"/>
        <v>123</v>
      </c>
      <c r="B137" s="181"/>
      <c r="C137" s="182"/>
      <c r="D137" s="117"/>
      <c r="E137" s="101"/>
      <c r="F137" s="118"/>
      <c r="G137" s="122"/>
      <c r="H137" s="119"/>
      <c r="I137" s="101"/>
      <c r="J137" s="120"/>
      <c r="K137" s="126"/>
      <c r="L137" s="123"/>
      <c r="M137" s="121"/>
      <c r="N137" s="124"/>
    </row>
    <row r="138" spans="1:14" ht="39.950000000000003" customHeight="1" x14ac:dyDescent="0.25">
      <c r="A138" s="125">
        <f t="shared" si="1"/>
        <v>124</v>
      </c>
      <c r="B138" s="182"/>
      <c r="C138" s="183"/>
      <c r="D138" s="99"/>
      <c r="E138" s="90"/>
      <c r="F138" s="105"/>
      <c r="G138" s="89"/>
      <c r="H138" s="101"/>
      <c r="I138" s="90"/>
      <c r="J138" s="102"/>
      <c r="K138" s="127"/>
      <c r="L138" s="91"/>
      <c r="M138" s="103"/>
      <c r="N138" s="92"/>
    </row>
    <row r="139" spans="1:14" ht="39.950000000000003" customHeight="1" x14ac:dyDescent="0.25">
      <c r="A139" s="125">
        <f t="shared" si="1"/>
        <v>125</v>
      </c>
      <c r="B139" s="181"/>
      <c r="C139" s="182"/>
      <c r="D139" s="117"/>
      <c r="E139" s="101"/>
      <c r="F139" s="118"/>
      <c r="G139" s="122"/>
      <c r="H139" s="119"/>
      <c r="I139" s="101"/>
      <c r="J139" s="120"/>
      <c r="K139" s="126"/>
      <c r="L139" s="123"/>
      <c r="M139" s="121"/>
      <c r="N139" s="124"/>
    </row>
    <row r="140" spans="1:14" ht="39.950000000000003" customHeight="1" x14ac:dyDescent="0.25">
      <c r="A140" s="125">
        <f t="shared" si="1"/>
        <v>126</v>
      </c>
      <c r="B140" s="182"/>
      <c r="C140" s="183"/>
      <c r="D140" s="99"/>
      <c r="E140" s="90"/>
      <c r="F140" s="105"/>
      <c r="G140" s="89"/>
      <c r="H140" s="101"/>
      <c r="I140" s="90"/>
      <c r="J140" s="102"/>
      <c r="K140" s="127"/>
      <c r="L140" s="91"/>
      <c r="M140" s="103"/>
      <c r="N140" s="92"/>
    </row>
    <row r="141" spans="1:14" ht="39.950000000000003" customHeight="1" x14ac:dyDescent="0.25">
      <c r="A141" s="125">
        <f t="shared" si="1"/>
        <v>127</v>
      </c>
      <c r="B141" s="181"/>
      <c r="C141" s="182"/>
      <c r="D141" s="117"/>
      <c r="E141" s="101"/>
      <c r="F141" s="118"/>
      <c r="G141" s="122"/>
      <c r="H141" s="119"/>
      <c r="I141" s="101"/>
      <c r="J141" s="120"/>
      <c r="K141" s="126"/>
      <c r="L141" s="123"/>
      <c r="M141" s="121"/>
      <c r="N141" s="124"/>
    </row>
    <row r="142" spans="1:14" ht="39.950000000000003" customHeight="1" x14ac:dyDescent="0.25">
      <c r="A142" s="125">
        <f t="shared" si="1"/>
        <v>128</v>
      </c>
      <c r="B142" s="182"/>
      <c r="C142" s="183"/>
      <c r="D142" s="99"/>
      <c r="E142" s="90"/>
      <c r="F142" s="105"/>
      <c r="G142" s="89"/>
      <c r="H142" s="101"/>
      <c r="I142" s="90"/>
      <c r="J142" s="102"/>
      <c r="K142" s="127"/>
      <c r="L142" s="91"/>
      <c r="M142" s="103"/>
      <c r="N142" s="92"/>
    </row>
    <row r="143" spans="1:14" ht="39.950000000000003" customHeight="1" x14ac:dyDescent="0.25">
      <c r="A143" s="125">
        <f t="shared" si="1"/>
        <v>129</v>
      </c>
      <c r="B143" s="181"/>
      <c r="C143" s="182"/>
      <c r="D143" s="117"/>
      <c r="E143" s="101"/>
      <c r="F143" s="118"/>
      <c r="G143" s="122"/>
      <c r="H143" s="119"/>
      <c r="I143" s="101"/>
      <c r="J143" s="120"/>
      <c r="K143" s="126"/>
      <c r="L143" s="123"/>
      <c r="M143" s="121"/>
      <c r="N143" s="124"/>
    </row>
    <row r="144" spans="1:14" ht="39.950000000000003" customHeight="1" x14ac:dyDescent="0.25">
      <c r="A144" s="125">
        <f t="shared" ref="A144:A207" si="2">ROW(A130)</f>
        <v>130</v>
      </c>
      <c r="B144" s="182"/>
      <c r="C144" s="183"/>
      <c r="D144" s="99"/>
      <c r="E144" s="90"/>
      <c r="F144" s="105"/>
      <c r="G144" s="89"/>
      <c r="H144" s="101"/>
      <c r="I144" s="90"/>
      <c r="J144" s="102"/>
      <c r="K144" s="127"/>
      <c r="L144" s="91"/>
      <c r="M144" s="103"/>
      <c r="N144" s="92"/>
    </row>
    <row r="145" spans="1:14" ht="39.950000000000003" customHeight="1" x14ac:dyDescent="0.25">
      <c r="A145" s="125">
        <f t="shared" si="2"/>
        <v>131</v>
      </c>
      <c r="B145" s="181"/>
      <c r="C145" s="182"/>
      <c r="D145" s="117"/>
      <c r="E145" s="101"/>
      <c r="F145" s="118"/>
      <c r="G145" s="122"/>
      <c r="H145" s="119"/>
      <c r="I145" s="101"/>
      <c r="J145" s="120"/>
      <c r="K145" s="126"/>
      <c r="L145" s="123"/>
      <c r="M145" s="121"/>
      <c r="N145" s="124"/>
    </row>
    <row r="146" spans="1:14" ht="39.950000000000003" customHeight="1" x14ac:dyDescent="0.25">
      <c r="A146" s="125">
        <f t="shared" si="2"/>
        <v>132</v>
      </c>
      <c r="B146" s="182"/>
      <c r="C146" s="183"/>
      <c r="D146" s="99"/>
      <c r="E146" s="90"/>
      <c r="F146" s="105"/>
      <c r="G146" s="89"/>
      <c r="H146" s="101"/>
      <c r="I146" s="90"/>
      <c r="J146" s="102"/>
      <c r="K146" s="127"/>
      <c r="L146" s="91"/>
      <c r="M146" s="103"/>
      <c r="N146" s="92"/>
    </row>
    <row r="147" spans="1:14" ht="39.950000000000003" customHeight="1" x14ac:dyDescent="0.25">
      <c r="A147" s="125">
        <f t="shared" si="2"/>
        <v>133</v>
      </c>
      <c r="B147" s="181"/>
      <c r="C147" s="182"/>
      <c r="D147" s="117"/>
      <c r="E147" s="101"/>
      <c r="F147" s="118"/>
      <c r="G147" s="122"/>
      <c r="H147" s="119"/>
      <c r="I147" s="101"/>
      <c r="J147" s="120"/>
      <c r="K147" s="126"/>
      <c r="L147" s="123"/>
      <c r="M147" s="121"/>
      <c r="N147" s="124"/>
    </row>
    <row r="148" spans="1:14" ht="39.950000000000003" customHeight="1" x14ac:dyDescent="0.25">
      <c r="A148" s="125">
        <f t="shared" si="2"/>
        <v>134</v>
      </c>
      <c r="B148" s="182"/>
      <c r="C148" s="183"/>
      <c r="D148" s="99"/>
      <c r="E148" s="90"/>
      <c r="F148" s="105"/>
      <c r="G148" s="89"/>
      <c r="H148" s="101"/>
      <c r="I148" s="90"/>
      <c r="J148" s="102"/>
      <c r="K148" s="127"/>
      <c r="L148" s="91"/>
      <c r="M148" s="103"/>
      <c r="N148" s="92"/>
    </row>
    <row r="149" spans="1:14" ht="39.950000000000003" customHeight="1" x14ac:dyDescent="0.25">
      <c r="A149" s="125">
        <f t="shared" si="2"/>
        <v>135</v>
      </c>
      <c r="B149" s="181"/>
      <c r="C149" s="182"/>
      <c r="D149" s="117"/>
      <c r="E149" s="101"/>
      <c r="F149" s="118"/>
      <c r="G149" s="122"/>
      <c r="H149" s="119"/>
      <c r="I149" s="101"/>
      <c r="J149" s="120"/>
      <c r="K149" s="126"/>
      <c r="L149" s="123"/>
      <c r="M149" s="121"/>
      <c r="N149" s="124"/>
    </row>
    <row r="150" spans="1:14" ht="39.950000000000003" customHeight="1" x14ac:dyDescent="0.25">
      <c r="A150" s="125">
        <f t="shared" si="2"/>
        <v>136</v>
      </c>
      <c r="B150" s="182"/>
      <c r="C150" s="183"/>
      <c r="D150" s="99"/>
      <c r="E150" s="90"/>
      <c r="F150" s="105"/>
      <c r="G150" s="89"/>
      <c r="H150" s="101"/>
      <c r="I150" s="90"/>
      <c r="J150" s="102"/>
      <c r="K150" s="127"/>
      <c r="L150" s="91"/>
      <c r="M150" s="103"/>
      <c r="N150" s="92"/>
    </row>
    <row r="151" spans="1:14" ht="39.950000000000003" customHeight="1" x14ac:dyDescent="0.25">
      <c r="A151" s="125">
        <f t="shared" si="2"/>
        <v>137</v>
      </c>
      <c r="B151" s="181"/>
      <c r="C151" s="182"/>
      <c r="D151" s="117"/>
      <c r="E151" s="101"/>
      <c r="F151" s="118"/>
      <c r="G151" s="122"/>
      <c r="H151" s="119"/>
      <c r="I151" s="101"/>
      <c r="J151" s="120"/>
      <c r="K151" s="126"/>
      <c r="L151" s="123"/>
      <c r="M151" s="121"/>
      <c r="N151" s="124"/>
    </row>
    <row r="152" spans="1:14" ht="39.950000000000003" customHeight="1" x14ac:dyDescent="0.25">
      <c r="A152" s="125">
        <f t="shared" si="2"/>
        <v>138</v>
      </c>
      <c r="B152" s="182"/>
      <c r="C152" s="183"/>
      <c r="D152" s="99"/>
      <c r="E152" s="90"/>
      <c r="F152" s="105"/>
      <c r="G152" s="89"/>
      <c r="H152" s="101"/>
      <c r="I152" s="90"/>
      <c r="J152" s="102"/>
      <c r="K152" s="127"/>
      <c r="L152" s="91"/>
      <c r="M152" s="103"/>
      <c r="N152" s="92"/>
    </row>
    <row r="153" spans="1:14" ht="39.950000000000003" customHeight="1" x14ac:dyDescent="0.25">
      <c r="A153" s="125">
        <f t="shared" si="2"/>
        <v>139</v>
      </c>
      <c r="B153" s="181"/>
      <c r="C153" s="182"/>
      <c r="D153" s="117"/>
      <c r="E153" s="101"/>
      <c r="F153" s="118"/>
      <c r="G153" s="122"/>
      <c r="H153" s="119"/>
      <c r="I153" s="101"/>
      <c r="J153" s="120"/>
      <c r="K153" s="126"/>
      <c r="L153" s="123"/>
      <c r="M153" s="121"/>
      <c r="N153" s="124"/>
    </row>
    <row r="154" spans="1:14" ht="39.950000000000003" customHeight="1" x14ac:dyDescent="0.25">
      <c r="A154" s="125">
        <f t="shared" si="2"/>
        <v>140</v>
      </c>
      <c r="B154" s="182"/>
      <c r="C154" s="183"/>
      <c r="D154" s="99"/>
      <c r="E154" s="90"/>
      <c r="F154" s="105"/>
      <c r="G154" s="89"/>
      <c r="H154" s="101"/>
      <c r="I154" s="90"/>
      <c r="J154" s="102"/>
      <c r="K154" s="127"/>
      <c r="L154" s="91"/>
      <c r="M154" s="103"/>
      <c r="N154" s="92"/>
    </row>
    <row r="155" spans="1:14" ht="39.950000000000003" customHeight="1" x14ac:dyDescent="0.25">
      <c r="A155" s="125">
        <f t="shared" si="2"/>
        <v>141</v>
      </c>
      <c r="B155" s="181"/>
      <c r="C155" s="182"/>
      <c r="D155" s="117"/>
      <c r="E155" s="101"/>
      <c r="F155" s="118"/>
      <c r="G155" s="122"/>
      <c r="H155" s="119"/>
      <c r="I155" s="101"/>
      <c r="J155" s="120"/>
      <c r="K155" s="126"/>
      <c r="L155" s="123"/>
      <c r="M155" s="121"/>
      <c r="N155" s="124"/>
    </row>
    <row r="156" spans="1:14" ht="39.950000000000003" customHeight="1" x14ac:dyDescent="0.25">
      <c r="A156" s="125">
        <f t="shared" si="2"/>
        <v>142</v>
      </c>
      <c r="B156" s="182"/>
      <c r="C156" s="183"/>
      <c r="D156" s="99"/>
      <c r="E156" s="90"/>
      <c r="F156" s="105"/>
      <c r="G156" s="89"/>
      <c r="H156" s="101"/>
      <c r="I156" s="90"/>
      <c r="J156" s="102"/>
      <c r="K156" s="127"/>
      <c r="L156" s="91"/>
      <c r="M156" s="103"/>
      <c r="N156" s="92"/>
    </row>
    <row r="157" spans="1:14" ht="39.950000000000003" customHeight="1" x14ac:dyDescent="0.25">
      <c r="A157" s="125">
        <f t="shared" si="2"/>
        <v>143</v>
      </c>
      <c r="B157" s="181"/>
      <c r="C157" s="182"/>
      <c r="D157" s="117"/>
      <c r="E157" s="101"/>
      <c r="F157" s="118"/>
      <c r="G157" s="122"/>
      <c r="H157" s="119"/>
      <c r="I157" s="101"/>
      <c r="J157" s="120"/>
      <c r="K157" s="126"/>
      <c r="L157" s="123"/>
      <c r="M157" s="121"/>
      <c r="N157" s="124"/>
    </row>
    <row r="158" spans="1:14" ht="39.950000000000003" customHeight="1" x14ac:dyDescent="0.25">
      <c r="A158" s="125">
        <f t="shared" si="2"/>
        <v>144</v>
      </c>
      <c r="B158" s="182"/>
      <c r="C158" s="183"/>
      <c r="D158" s="99"/>
      <c r="E158" s="90"/>
      <c r="F158" s="105"/>
      <c r="G158" s="89"/>
      <c r="H158" s="101"/>
      <c r="I158" s="90"/>
      <c r="J158" s="102"/>
      <c r="K158" s="127"/>
      <c r="L158" s="91"/>
      <c r="M158" s="103"/>
      <c r="N158" s="92"/>
    </row>
    <row r="159" spans="1:14" ht="39.950000000000003" customHeight="1" x14ac:dyDescent="0.25">
      <c r="A159" s="125">
        <f t="shared" si="2"/>
        <v>145</v>
      </c>
      <c r="B159" s="181"/>
      <c r="C159" s="182"/>
      <c r="D159" s="117"/>
      <c r="E159" s="101"/>
      <c r="F159" s="118"/>
      <c r="G159" s="122"/>
      <c r="H159" s="119"/>
      <c r="I159" s="101"/>
      <c r="J159" s="120"/>
      <c r="K159" s="126"/>
      <c r="L159" s="123"/>
      <c r="M159" s="121"/>
      <c r="N159" s="124"/>
    </row>
    <row r="160" spans="1:14" ht="39.950000000000003" customHeight="1" x14ac:dyDescent="0.25">
      <c r="A160" s="125">
        <f t="shared" si="2"/>
        <v>146</v>
      </c>
      <c r="B160" s="182"/>
      <c r="C160" s="183"/>
      <c r="D160" s="99"/>
      <c r="E160" s="90"/>
      <c r="F160" s="105"/>
      <c r="G160" s="89"/>
      <c r="H160" s="101"/>
      <c r="I160" s="90"/>
      <c r="J160" s="102"/>
      <c r="K160" s="127"/>
      <c r="L160" s="91"/>
      <c r="M160" s="103"/>
      <c r="N160" s="92"/>
    </row>
    <row r="161" spans="1:14" ht="39.950000000000003" customHeight="1" x14ac:dyDescent="0.25">
      <c r="A161" s="125">
        <f t="shared" si="2"/>
        <v>147</v>
      </c>
      <c r="B161" s="181"/>
      <c r="C161" s="182"/>
      <c r="D161" s="117"/>
      <c r="E161" s="101"/>
      <c r="F161" s="118"/>
      <c r="G161" s="122"/>
      <c r="H161" s="119"/>
      <c r="I161" s="101"/>
      <c r="J161" s="120"/>
      <c r="K161" s="126"/>
      <c r="L161" s="123"/>
      <c r="M161" s="121"/>
      <c r="N161" s="124"/>
    </row>
    <row r="162" spans="1:14" ht="39.950000000000003" customHeight="1" x14ac:dyDescent="0.25">
      <c r="A162" s="125">
        <f t="shared" si="2"/>
        <v>148</v>
      </c>
      <c r="B162" s="182"/>
      <c r="C162" s="183"/>
      <c r="D162" s="99"/>
      <c r="E162" s="90"/>
      <c r="F162" s="105"/>
      <c r="G162" s="89"/>
      <c r="H162" s="101"/>
      <c r="I162" s="90"/>
      <c r="J162" s="102"/>
      <c r="K162" s="127"/>
      <c r="L162" s="91"/>
      <c r="M162" s="103"/>
      <c r="N162" s="92"/>
    </row>
    <row r="163" spans="1:14" ht="39.950000000000003" customHeight="1" x14ac:dyDescent="0.25">
      <c r="A163" s="125">
        <f t="shared" si="2"/>
        <v>149</v>
      </c>
      <c r="B163" s="181"/>
      <c r="C163" s="182"/>
      <c r="D163" s="117"/>
      <c r="E163" s="101"/>
      <c r="F163" s="118"/>
      <c r="G163" s="122"/>
      <c r="H163" s="119"/>
      <c r="I163" s="101"/>
      <c r="J163" s="120"/>
      <c r="K163" s="126"/>
      <c r="L163" s="123"/>
      <c r="M163" s="121"/>
      <c r="N163" s="124"/>
    </row>
    <row r="164" spans="1:14" ht="39.950000000000003" customHeight="1" x14ac:dyDescent="0.25">
      <c r="A164" s="125">
        <f t="shared" si="2"/>
        <v>150</v>
      </c>
      <c r="B164" s="182"/>
      <c r="C164" s="183"/>
      <c r="D164" s="99"/>
      <c r="E164" s="90"/>
      <c r="F164" s="105"/>
      <c r="G164" s="89"/>
      <c r="H164" s="101"/>
      <c r="I164" s="90"/>
      <c r="J164" s="102"/>
      <c r="K164" s="127"/>
      <c r="L164" s="91"/>
      <c r="M164" s="103"/>
      <c r="N164" s="92"/>
    </row>
    <row r="165" spans="1:14" ht="39.950000000000003" customHeight="1" x14ac:dyDescent="0.25">
      <c r="A165" s="125">
        <f t="shared" si="2"/>
        <v>151</v>
      </c>
      <c r="B165" s="181"/>
      <c r="C165" s="182"/>
      <c r="D165" s="117"/>
      <c r="E165" s="101"/>
      <c r="F165" s="118"/>
      <c r="G165" s="122"/>
      <c r="H165" s="119"/>
      <c r="I165" s="101"/>
      <c r="J165" s="120"/>
      <c r="K165" s="126"/>
      <c r="L165" s="123"/>
      <c r="M165" s="121"/>
      <c r="N165" s="124"/>
    </row>
    <row r="166" spans="1:14" ht="39.950000000000003" customHeight="1" x14ac:dyDescent="0.25">
      <c r="A166" s="125">
        <f t="shared" si="2"/>
        <v>152</v>
      </c>
      <c r="B166" s="182"/>
      <c r="C166" s="183"/>
      <c r="D166" s="99"/>
      <c r="E166" s="90"/>
      <c r="F166" s="105"/>
      <c r="G166" s="89"/>
      <c r="H166" s="101"/>
      <c r="I166" s="90"/>
      <c r="J166" s="102"/>
      <c r="K166" s="127"/>
      <c r="L166" s="91"/>
      <c r="M166" s="103"/>
      <c r="N166" s="92"/>
    </row>
    <row r="167" spans="1:14" ht="39.950000000000003" customHeight="1" x14ac:dyDescent="0.25">
      <c r="A167" s="125">
        <f t="shared" si="2"/>
        <v>153</v>
      </c>
      <c r="B167" s="181"/>
      <c r="C167" s="182"/>
      <c r="D167" s="117"/>
      <c r="E167" s="101"/>
      <c r="F167" s="118"/>
      <c r="G167" s="122"/>
      <c r="H167" s="119"/>
      <c r="I167" s="101"/>
      <c r="J167" s="120"/>
      <c r="K167" s="126"/>
      <c r="L167" s="123"/>
      <c r="M167" s="121"/>
      <c r="N167" s="124"/>
    </row>
    <row r="168" spans="1:14" ht="39.950000000000003" customHeight="1" x14ac:dyDescent="0.25">
      <c r="A168" s="125">
        <f t="shared" si="2"/>
        <v>154</v>
      </c>
      <c r="B168" s="182"/>
      <c r="C168" s="183"/>
      <c r="D168" s="99"/>
      <c r="E168" s="90"/>
      <c r="F168" s="105"/>
      <c r="G168" s="89"/>
      <c r="H168" s="101"/>
      <c r="I168" s="90"/>
      <c r="J168" s="102"/>
      <c r="K168" s="127"/>
      <c r="L168" s="91"/>
      <c r="M168" s="103"/>
      <c r="N168" s="92"/>
    </row>
    <row r="169" spans="1:14" ht="39.950000000000003" customHeight="1" x14ac:dyDescent="0.25">
      <c r="A169" s="125">
        <f t="shared" si="2"/>
        <v>155</v>
      </c>
      <c r="B169" s="181"/>
      <c r="C169" s="182"/>
      <c r="D169" s="117"/>
      <c r="E169" s="101"/>
      <c r="F169" s="118"/>
      <c r="G169" s="122"/>
      <c r="H169" s="119"/>
      <c r="I169" s="101"/>
      <c r="J169" s="120"/>
      <c r="K169" s="126"/>
      <c r="L169" s="123"/>
      <c r="M169" s="121"/>
      <c r="N169" s="124"/>
    </row>
    <row r="170" spans="1:14" ht="39.950000000000003" customHeight="1" x14ac:dyDescent="0.25">
      <c r="A170" s="125">
        <f t="shared" si="2"/>
        <v>156</v>
      </c>
      <c r="B170" s="182"/>
      <c r="C170" s="183"/>
      <c r="D170" s="99"/>
      <c r="E170" s="90"/>
      <c r="F170" s="105"/>
      <c r="G170" s="89"/>
      <c r="H170" s="101"/>
      <c r="I170" s="90"/>
      <c r="J170" s="102"/>
      <c r="K170" s="127"/>
      <c r="L170" s="91"/>
      <c r="M170" s="103"/>
      <c r="N170" s="92"/>
    </row>
    <row r="171" spans="1:14" ht="39.950000000000003" customHeight="1" x14ac:dyDescent="0.25">
      <c r="A171" s="125">
        <f t="shared" si="2"/>
        <v>157</v>
      </c>
      <c r="B171" s="181"/>
      <c r="C171" s="182"/>
      <c r="D171" s="117"/>
      <c r="E171" s="101"/>
      <c r="F171" s="118"/>
      <c r="G171" s="122"/>
      <c r="H171" s="119"/>
      <c r="I171" s="101"/>
      <c r="J171" s="120"/>
      <c r="K171" s="126"/>
      <c r="L171" s="123"/>
      <c r="M171" s="121"/>
      <c r="N171" s="124"/>
    </row>
    <row r="172" spans="1:14" ht="39.950000000000003" customHeight="1" x14ac:dyDescent="0.25">
      <c r="A172" s="125">
        <f t="shared" si="2"/>
        <v>158</v>
      </c>
      <c r="B172" s="182"/>
      <c r="C172" s="183"/>
      <c r="D172" s="99"/>
      <c r="E172" s="90"/>
      <c r="F172" s="105"/>
      <c r="G172" s="89"/>
      <c r="H172" s="101"/>
      <c r="I172" s="90"/>
      <c r="J172" s="102"/>
      <c r="K172" s="127"/>
      <c r="L172" s="91"/>
      <c r="M172" s="103"/>
      <c r="N172" s="92"/>
    </row>
    <row r="173" spans="1:14" ht="39.950000000000003" customHeight="1" x14ac:dyDescent="0.25">
      <c r="A173" s="125">
        <f t="shared" si="2"/>
        <v>159</v>
      </c>
      <c r="B173" s="181"/>
      <c r="C173" s="182"/>
      <c r="D173" s="117"/>
      <c r="E173" s="101"/>
      <c r="F173" s="118"/>
      <c r="G173" s="122"/>
      <c r="H173" s="119"/>
      <c r="I173" s="101"/>
      <c r="J173" s="120"/>
      <c r="K173" s="126"/>
      <c r="L173" s="123"/>
      <c r="M173" s="121"/>
      <c r="N173" s="124"/>
    </row>
    <row r="174" spans="1:14" ht="39.950000000000003" customHeight="1" x14ac:dyDescent="0.25">
      <c r="A174" s="125">
        <f t="shared" si="2"/>
        <v>160</v>
      </c>
      <c r="B174" s="182"/>
      <c r="C174" s="183"/>
      <c r="D174" s="99"/>
      <c r="E174" s="90"/>
      <c r="F174" s="105"/>
      <c r="G174" s="89"/>
      <c r="H174" s="101"/>
      <c r="I174" s="90"/>
      <c r="J174" s="102"/>
      <c r="K174" s="127"/>
      <c r="L174" s="91"/>
      <c r="M174" s="103"/>
      <c r="N174" s="92"/>
    </row>
    <row r="175" spans="1:14" ht="39.950000000000003" customHeight="1" x14ac:dyDescent="0.25">
      <c r="A175" s="125">
        <f t="shared" si="2"/>
        <v>161</v>
      </c>
      <c r="B175" s="181"/>
      <c r="C175" s="182"/>
      <c r="D175" s="117"/>
      <c r="E175" s="101"/>
      <c r="F175" s="118"/>
      <c r="G175" s="122"/>
      <c r="H175" s="119"/>
      <c r="I175" s="101"/>
      <c r="J175" s="120"/>
      <c r="K175" s="126"/>
      <c r="L175" s="123"/>
      <c r="M175" s="121"/>
      <c r="N175" s="124"/>
    </row>
    <row r="176" spans="1:14" ht="39.950000000000003" customHeight="1" x14ac:dyDescent="0.25">
      <c r="A176" s="125">
        <f t="shared" si="2"/>
        <v>162</v>
      </c>
      <c r="B176" s="182"/>
      <c r="C176" s="183"/>
      <c r="D176" s="99"/>
      <c r="E176" s="90"/>
      <c r="F176" s="105"/>
      <c r="G176" s="89"/>
      <c r="H176" s="101"/>
      <c r="I176" s="90"/>
      <c r="J176" s="102"/>
      <c r="K176" s="127"/>
      <c r="L176" s="91"/>
      <c r="M176" s="103"/>
      <c r="N176" s="92"/>
    </row>
    <row r="177" spans="1:14" ht="39.950000000000003" customHeight="1" x14ac:dyDescent="0.25">
      <c r="A177" s="125">
        <f t="shared" si="2"/>
        <v>163</v>
      </c>
      <c r="B177" s="181"/>
      <c r="C177" s="182"/>
      <c r="D177" s="117"/>
      <c r="E177" s="101"/>
      <c r="F177" s="118"/>
      <c r="G177" s="122"/>
      <c r="H177" s="119"/>
      <c r="I177" s="101"/>
      <c r="J177" s="120"/>
      <c r="K177" s="126"/>
      <c r="L177" s="123"/>
      <c r="M177" s="121"/>
      <c r="N177" s="124"/>
    </row>
    <row r="178" spans="1:14" ht="39.950000000000003" customHeight="1" x14ac:dyDescent="0.25">
      <c r="A178" s="125">
        <f t="shared" si="2"/>
        <v>164</v>
      </c>
      <c r="B178" s="182"/>
      <c r="C178" s="183"/>
      <c r="D178" s="99"/>
      <c r="E178" s="90"/>
      <c r="F178" s="105"/>
      <c r="G178" s="89"/>
      <c r="H178" s="101"/>
      <c r="I178" s="90"/>
      <c r="J178" s="102"/>
      <c r="K178" s="127"/>
      <c r="L178" s="91"/>
      <c r="M178" s="103"/>
      <c r="N178" s="92"/>
    </row>
    <row r="179" spans="1:14" ht="39.950000000000003" customHeight="1" x14ac:dyDescent="0.25">
      <c r="A179" s="125">
        <f t="shared" si="2"/>
        <v>165</v>
      </c>
      <c r="B179" s="181"/>
      <c r="C179" s="182"/>
      <c r="D179" s="117"/>
      <c r="E179" s="101"/>
      <c r="F179" s="118"/>
      <c r="G179" s="122"/>
      <c r="H179" s="119"/>
      <c r="I179" s="101"/>
      <c r="J179" s="120"/>
      <c r="K179" s="126"/>
      <c r="L179" s="123"/>
      <c r="M179" s="121"/>
      <c r="N179" s="124"/>
    </row>
    <row r="180" spans="1:14" ht="39.950000000000003" customHeight="1" x14ac:dyDescent="0.25">
      <c r="A180" s="125">
        <f t="shared" si="2"/>
        <v>166</v>
      </c>
      <c r="B180" s="182"/>
      <c r="C180" s="183"/>
      <c r="D180" s="99"/>
      <c r="E180" s="90"/>
      <c r="F180" s="105"/>
      <c r="G180" s="89"/>
      <c r="H180" s="101"/>
      <c r="I180" s="90"/>
      <c r="J180" s="102"/>
      <c r="K180" s="127"/>
      <c r="L180" s="91"/>
      <c r="M180" s="103"/>
      <c r="N180" s="92"/>
    </row>
    <row r="181" spans="1:14" ht="39.950000000000003" customHeight="1" x14ac:dyDescent="0.25">
      <c r="A181" s="125">
        <f t="shared" si="2"/>
        <v>167</v>
      </c>
      <c r="B181" s="181"/>
      <c r="C181" s="182"/>
      <c r="D181" s="117"/>
      <c r="E181" s="101"/>
      <c r="F181" s="118"/>
      <c r="G181" s="122"/>
      <c r="H181" s="119"/>
      <c r="I181" s="101"/>
      <c r="J181" s="120"/>
      <c r="K181" s="126"/>
      <c r="L181" s="123"/>
      <c r="M181" s="121"/>
      <c r="N181" s="124"/>
    </row>
    <row r="182" spans="1:14" ht="39.950000000000003" customHeight="1" x14ac:dyDescent="0.25">
      <c r="A182" s="125">
        <f t="shared" si="2"/>
        <v>168</v>
      </c>
      <c r="B182" s="182"/>
      <c r="C182" s="183"/>
      <c r="D182" s="99"/>
      <c r="E182" s="90"/>
      <c r="F182" s="105"/>
      <c r="G182" s="89"/>
      <c r="H182" s="101"/>
      <c r="I182" s="90"/>
      <c r="J182" s="102"/>
      <c r="K182" s="127"/>
      <c r="L182" s="91"/>
      <c r="M182" s="103"/>
      <c r="N182" s="92"/>
    </row>
    <row r="183" spans="1:14" ht="39.950000000000003" customHeight="1" x14ac:dyDescent="0.25">
      <c r="A183" s="125">
        <f t="shared" si="2"/>
        <v>169</v>
      </c>
      <c r="B183" s="181"/>
      <c r="C183" s="182"/>
      <c r="D183" s="117"/>
      <c r="E183" s="101"/>
      <c r="F183" s="118"/>
      <c r="G183" s="122"/>
      <c r="H183" s="119"/>
      <c r="I183" s="101"/>
      <c r="J183" s="120"/>
      <c r="K183" s="126"/>
      <c r="L183" s="123"/>
      <c r="M183" s="121"/>
      <c r="N183" s="124"/>
    </row>
    <row r="184" spans="1:14" ht="39.950000000000003" customHeight="1" x14ac:dyDescent="0.25">
      <c r="A184" s="125">
        <f t="shared" si="2"/>
        <v>170</v>
      </c>
      <c r="B184" s="182"/>
      <c r="C184" s="183"/>
      <c r="D184" s="99"/>
      <c r="E184" s="90"/>
      <c r="F184" s="105"/>
      <c r="G184" s="89"/>
      <c r="H184" s="101"/>
      <c r="I184" s="90"/>
      <c r="J184" s="102"/>
      <c r="K184" s="127"/>
      <c r="L184" s="91"/>
      <c r="M184" s="103"/>
      <c r="N184" s="92"/>
    </row>
    <row r="185" spans="1:14" ht="39.950000000000003" customHeight="1" x14ac:dyDescent="0.25">
      <c r="A185" s="125">
        <f t="shared" si="2"/>
        <v>171</v>
      </c>
      <c r="B185" s="181"/>
      <c r="C185" s="182"/>
      <c r="D185" s="117"/>
      <c r="E185" s="101"/>
      <c r="F185" s="118"/>
      <c r="G185" s="122"/>
      <c r="H185" s="119"/>
      <c r="I185" s="101"/>
      <c r="J185" s="120"/>
      <c r="K185" s="126"/>
      <c r="L185" s="123"/>
      <c r="M185" s="121"/>
      <c r="N185" s="124"/>
    </row>
    <row r="186" spans="1:14" ht="39.950000000000003" customHeight="1" x14ac:dyDescent="0.25">
      <c r="A186" s="125">
        <f t="shared" si="2"/>
        <v>172</v>
      </c>
      <c r="B186" s="182"/>
      <c r="C186" s="183"/>
      <c r="D186" s="99"/>
      <c r="E186" s="90"/>
      <c r="F186" s="105"/>
      <c r="G186" s="89"/>
      <c r="H186" s="101"/>
      <c r="I186" s="90"/>
      <c r="J186" s="102"/>
      <c r="K186" s="127"/>
      <c r="L186" s="91"/>
      <c r="M186" s="103"/>
      <c r="N186" s="92"/>
    </row>
    <row r="187" spans="1:14" ht="39.950000000000003" customHeight="1" x14ac:dyDescent="0.25">
      <c r="A187" s="125">
        <f t="shared" si="2"/>
        <v>173</v>
      </c>
      <c r="B187" s="181"/>
      <c r="C187" s="182"/>
      <c r="D187" s="117"/>
      <c r="E187" s="101"/>
      <c r="F187" s="118"/>
      <c r="G187" s="122"/>
      <c r="H187" s="119"/>
      <c r="I187" s="101"/>
      <c r="J187" s="120"/>
      <c r="K187" s="126"/>
      <c r="L187" s="123"/>
      <c r="M187" s="121"/>
      <c r="N187" s="124"/>
    </row>
    <row r="188" spans="1:14" ht="39.950000000000003" customHeight="1" x14ac:dyDescent="0.25">
      <c r="A188" s="125">
        <f t="shared" si="2"/>
        <v>174</v>
      </c>
      <c r="B188" s="182"/>
      <c r="C188" s="183"/>
      <c r="D188" s="99"/>
      <c r="E188" s="90"/>
      <c r="F188" s="105"/>
      <c r="G188" s="89"/>
      <c r="H188" s="101"/>
      <c r="I188" s="90"/>
      <c r="J188" s="102"/>
      <c r="K188" s="127"/>
      <c r="L188" s="91"/>
      <c r="M188" s="103"/>
      <c r="N188" s="92"/>
    </row>
    <row r="189" spans="1:14" ht="39.950000000000003" customHeight="1" x14ac:dyDescent="0.25">
      <c r="A189" s="125">
        <f t="shared" si="2"/>
        <v>175</v>
      </c>
      <c r="B189" s="181"/>
      <c r="C189" s="182"/>
      <c r="D189" s="117"/>
      <c r="E189" s="101"/>
      <c r="F189" s="118"/>
      <c r="G189" s="122"/>
      <c r="H189" s="119"/>
      <c r="I189" s="101"/>
      <c r="J189" s="120"/>
      <c r="K189" s="126"/>
      <c r="L189" s="123"/>
      <c r="M189" s="121"/>
      <c r="N189" s="124"/>
    </row>
    <row r="190" spans="1:14" ht="39.950000000000003" customHeight="1" x14ac:dyDescent="0.25">
      <c r="A190" s="125">
        <f t="shared" si="2"/>
        <v>176</v>
      </c>
      <c r="B190" s="182"/>
      <c r="C190" s="183"/>
      <c r="D190" s="99"/>
      <c r="E190" s="90"/>
      <c r="F190" s="105"/>
      <c r="G190" s="89"/>
      <c r="H190" s="101"/>
      <c r="I190" s="90"/>
      <c r="J190" s="102"/>
      <c r="K190" s="127"/>
      <c r="L190" s="91"/>
      <c r="M190" s="103"/>
      <c r="N190" s="92"/>
    </row>
    <row r="191" spans="1:14" ht="39.950000000000003" customHeight="1" x14ac:dyDescent="0.25">
      <c r="A191" s="125">
        <f t="shared" si="2"/>
        <v>177</v>
      </c>
      <c r="B191" s="181"/>
      <c r="C191" s="182"/>
      <c r="D191" s="117"/>
      <c r="E191" s="101"/>
      <c r="F191" s="118"/>
      <c r="G191" s="122"/>
      <c r="H191" s="119"/>
      <c r="I191" s="101"/>
      <c r="J191" s="120"/>
      <c r="K191" s="126"/>
      <c r="L191" s="123"/>
      <c r="M191" s="121"/>
      <c r="N191" s="124"/>
    </row>
    <row r="192" spans="1:14" ht="39.950000000000003" customHeight="1" x14ac:dyDescent="0.25">
      <c r="A192" s="125">
        <f t="shared" si="2"/>
        <v>178</v>
      </c>
      <c r="B192" s="182"/>
      <c r="C192" s="183"/>
      <c r="D192" s="99"/>
      <c r="E192" s="90"/>
      <c r="F192" s="105"/>
      <c r="G192" s="89"/>
      <c r="H192" s="101"/>
      <c r="I192" s="90"/>
      <c r="J192" s="102"/>
      <c r="K192" s="127"/>
      <c r="L192" s="91"/>
      <c r="M192" s="103"/>
      <c r="N192" s="92"/>
    </row>
    <row r="193" spans="1:14" ht="39.950000000000003" customHeight="1" x14ac:dyDescent="0.25">
      <c r="A193" s="125">
        <f t="shared" si="2"/>
        <v>179</v>
      </c>
      <c r="B193" s="181"/>
      <c r="C193" s="182"/>
      <c r="D193" s="117"/>
      <c r="E193" s="101"/>
      <c r="F193" s="118"/>
      <c r="G193" s="122"/>
      <c r="H193" s="119"/>
      <c r="I193" s="101"/>
      <c r="J193" s="120"/>
      <c r="K193" s="126"/>
      <c r="L193" s="123"/>
      <c r="M193" s="121"/>
      <c r="N193" s="124"/>
    </row>
    <row r="194" spans="1:14" ht="39.950000000000003" customHeight="1" x14ac:dyDescent="0.25">
      <c r="A194" s="125">
        <f t="shared" si="2"/>
        <v>180</v>
      </c>
      <c r="B194" s="182"/>
      <c r="C194" s="183"/>
      <c r="D194" s="99"/>
      <c r="E194" s="90"/>
      <c r="F194" s="105"/>
      <c r="G194" s="89"/>
      <c r="H194" s="101"/>
      <c r="I194" s="90"/>
      <c r="J194" s="102"/>
      <c r="K194" s="127"/>
      <c r="L194" s="91"/>
      <c r="M194" s="103"/>
      <c r="N194" s="92"/>
    </row>
    <row r="195" spans="1:14" ht="39.950000000000003" customHeight="1" x14ac:dyDescent="0.25">
      <c r="A195" s="125">
        <f t="shared" si="2"/>
        <v>181</v>
      </c>
      <c r="B195" s="181"/>
      <c r="C195" s="182"/>
      <c r="D195" s="117"/>
      <c r="E195" s="101"/>
      <c r="F195" s="118"/>
      <c r="G195" s="122"/>
      <c r="H195" s="119"/>
      <c r="I195" s="101"/>
      <c r="J195" s="120"/>
      <c r="K195" s="126"/>
      <c r="L195" s="123"/>
      <c r="M195" s="121"/>
      <c r="N195" s="124"/>
    </row>
    <row r="196" spans="1:14" ht="39.950000000000003" customHeight="1" x14ac:dyDescent="0.25">
      <c r="A196" s="125">
        <f t="shared" si="2"/>
        <v>182</v>
      </c>
      <c r="B196" s="182"/>
      <c r="C196" s="183"/>
      <c r="D196" s="99"/>
      <c r="E196" s="90"/>
      <c r="F196" s="105"/>
      <c r="G196" s="89"/>
      <c r="H196" s="101"/>
      <c r="I196" s="90"/>
      <c r="J196" s="102"/>
      <c r="K196" s="127"/>
      <c r="L196" s="91"/>
      <c r="M196" s="103"/>
      <c r="N196" s="92"/>
    </row>
    <row r="197" spans="1:14" ht="39.950000000000003" customHeight="1" x14ac:dyDescent="0.25">
      <c r="A197" s="125">
        <f t="shared" si="2"/>
        <v>183</v>
      </c>
      <c r="B197" s="181"/>
      <c r="C197" s="182"/>
      <c r="D197" s="117"/>
      <c r="E197" s="101"/>
      <c r="F197" s="118"/>
      <c r="G197" s="122"/>
      <c r="H197" s="119"/>
      <c r="I197" s="101"/>
      <c r="J197" s="120"/>
      <c r="K197" s="126"/>
      <c r="L197" s="123"/>
      <c r="M197" s="121"/>
      <c r="N197" s="124"/>
    </row>
    <row r="198" spans="1:14" ht="39.950000000000003" customHeight="1" x14ac:dyDescent="0.25">
      <c r="A198" s="125">
        <f t="shared" si="2"/>
        <v>184</v>
      </c>
      <c r="B198" s="182"/>
      <c r="C198" s="183"/>
      <c r="D198" s="99"/>
      <c r="E198" s="90"/>
      <c r="F198" s="105"/>
      <c r="G198" s="89"/>
      <c r="H198" s="101"/>
      <c r="I198" s="90"/>
      <c r="J198" s="102"/>
      <c r="K198" s="127"/>
      <c r="L198" s="91"/>
      <c r="M198" s="103"/>
      <c r="N198" s="92"/>
    </row>
    <row r="199" spans="1:14" ht="39.950000000000003" customHeight="1" x14ac:dyDescent="0.25">
      <c r="A199" s="125">
        <f t="shared" si="2"/>
        <v>185</v>
      </c>
      <c r="B199" s="181"/>
      <c r="C199" s="182"/>
      <c r="D199" s="117"/>
      <c r="E199" s="101"/>
      <c r="F199" s="118"/>
      <c r="G199" s="122"/>
      <c r="H199" s="119"/>
      <c r="I199" s="101"/>
      <c r="J199" s="120"/>
      <c r="K199" s="126"/>
      <c r="L199" s="123"/>
      <c r="M199" s="121"/>
      <c r="N199" s="124"/>
    </row>
    <row r="200" spans="1:14" ht="39.950000000000003" customHeight="1" x14ac:dyDescent="0.25">
      <c r="A200" s="125">
        <f t="shared" si="2"/>
        <v>186</v>
      </c>
      <c r="B200" s="182"/>
      <c r="C200" s="183"/>
      <c r="D200" s="99"/>
      <c r="E200" s="90"/>
      <c r="F200" s="105"/>
      <c r="G200" s="89"/>
      <c r="H200" s="101"/>
      <c r="I200" s="90"/>
      <c r="J200" s="102"/>
      <c r="K200" s="127"/>
      <c r="L200" s="91"/>
      <c r="M200" s="103"/>
      <c r="N200" s="92"/>
    </row>
    <row r="201" spans="1:14" ht="39.950000000000003" customHeight="1" x14ac:dyDescent="0.25">
      <c r="A201" s="125">
        <f t="shared" si="2"/>
        <v>187</v>
      </c>
      <c r="B201" s="181"/>
      <c r="C201" s="182"/>
      <c r="D201" s="117"/>
      <c r="E201" s="101"/>
      <c r="F201" s="118"/>
      <c r="G201" s="122"/>
      <c r="H201" s="119"/>
      <c r="I201" s="101"/>
      <c r="J201" s="120"/>
      <c r="K201" s="126"/>
      <c r="L201" s="123"/>
      <c r="M201" s="121"/>
      <c r="N201" s="124"/>
    </row>
    <row r="202" spans="1:14" ht="39.950000000000003" customHeight="1" x14ac:dyDescent="0.25">
      <c r="A202" s="125">
        <f t="shared" si="2"/>
        <v>188</v>
      </c>
      <c r="B202" s="182"/>
      <c r="C202" s="183"/>
      <c r="D202" s="99"/>
      <c r="E202" s="90"/>
      <c r="F202" s="105"/>
      <c r="G202" s="89"/>
      <c r="H202" s="101"/>
      <c r="I202" s="90"/>
      <c r="J202" s="102"/>
      <c r="K202" s="127"/>
      <c r="L202" s="91"/>
      <c r="M202" s="103"/>
      <c r="N202" s="92"/>
    </row>
    <row r="203" spans="1:14" ht="39.950000000000003" customHeight="1" x14ac:dyDescent="0.25">
      <c r="A203" s="125">
        <f t="shared" si="2"/>
        <v>189</v>
      </c>
      <c r="B203" s="181"/>
      <c r="C203" s="182"/>
      <c r="D203" s="117"/>
      <c r="E203" s="101"/>
      <c r="F203" s="118"/>
      <c r="G203" s="122"/>
      <c r="H203" s="119"/>
      <c r="I203" s="101"/>
      <c r="J203" s="120"/>
      <c r="K203" s="126"/>
      <c r="L203" s="123"/>
      <c r="M203" s="121"/>
      <c r="N203" s="124"/>
    </row>
    <row r="204" spans="1:14" ht="39.950000000000003" customHeight="1" x14ac:dyDescent="0.25">
      <c r="A204" s="125">
        <f t="shared" si="2"/>
        <v>190</v>
      </c>
      <c r="B204" s="182"/>
      <c r="C204" s="183"/>
      <c r="D204" s="99"/>
      <c r="E204" s="90"/>
      <c r="F204" s="105"/>
      <c r="G204" s="89"/>
      <c r="H204" s="101"/>
      <c r="I204" s="90"/>
      <c r="J204" s="102"/>
      <c r="K204" s="127"/>
      <c r="L204" s="91"/>
      <c r="M204" s="103"/>
      <c r="N204" s="92"/>
    </row>
    <row r="205" spans="1:14" ht="39.950000000000003" customHeight="1" x14ac:dyDescent="0.25">
      <c r="A205" s="125">
        <f t="shared" si="2"/>
        <v>191</v>
      </c>
      <c r="B205" s="181"/>
      <c r="C205" s="182"/>
      <c r="D205" s="117"/>
      <c r="E205" s="101"/>
      <c r="F205" s="118"/>
      <c r="G205" s="122"/>
      <c r="H205" s="119"/>
      <c r="I205" s="101"/>
      <c r="J205" s="120"/>
      <c r="K205" s="126"/>
      <c r="L205" s="123"/>
      <c r="M205" s="121"/>
      <c r="N205" s="124"/>
    </row>
    <row r="206" spans="1:14" ht="39.950000000000003" customHeight="1" x14ac:dyDescent="0.25">
      <c r="A206" s="125">
        <f t="shared" si="2"/>
        <v>192</v>
      </c>
      <c r="B206" s="182"/>
      <c r="C206" s="183"/>
      <c r="D206" s="99"/>
      <c r="E206" s="90"/>
      <c r="F206" s="105"/>
      <c r="G206" s="89"/>
      <c r="H206" s="101"/>
      <c r="I206" s="90"/>
      <c r="J206" s="102"/>
      <c r="K206" s="127"/>
      <c r="L206" s="91"/>
      <c r="M206" s="103"/>
      <c r="N206" s="92"/>
    </row>
    <row r="207" spans="1:14" ht="39.950000000000003" customHeight="1" x14ac:dyDescent="0.25">
      <c r="A207" s="125">
        <f t="shared" si="2"/>
        <v>193</v>
      </c>
      <c r="B207" s="181"/>
      <c r="C207" s="182"/>
      <c r="D207" s="117"/>
      <c r="E207" s="101"/>
      <c r="F207" s="118"/>
      <c r="G207" s="122"/>
      <c r="H207" s="119"/>
      <c r="I207" s="101"/>
      <c r="J207" s="120"/>
      <c r="K207" s="126"/>
      <c r="L207" s="123"/>
      <c r="M207" s="121"/>
      <c r="N207" s="124"/>
    </row>
    <row r="208" spans="1:14" ht="39.950000000000003" customHeight="1" x14ac:dyDescent="0.25">
      <c r="A208" s="125">
        <f t="shared" ref="A208:A271" si="3">ROW(A194)</f>
        <v>194</v>
      </c>
      <c r="B208" s="182"/>
      <c r="C208" s="183"/>
      <c r="D208" s="99"/>
      <c r="E208" s="90"/>
      <c r="F208" s="105"/>
      <c r="G208" s="89"/>
      <c r="H208" s="101"/>
      <c r="I208" s="90"/>
      <c r="J208" s="102"/>
      <c r="K208" s="127"/>
      <c r="L208" s="91"/>
      <c r="M208" s="103"/>
      <c r="N208" s="92"/>
    </row>
    <row r="209" spans="1:14" ht="39.950000000000003" customHeight="1" x14ac:dyDescent="0.25">
      <c r="A209" s="125">
        <f t="shared" si="3"/>
        <v>195</v>
      </c>
      <c r="B209" s="181"/>
      <c r="C209" s="182"/>
      <c r="D209" s="117"/>
      <c r="E209" s="101"/>
      <c r="F209" s="118"/>
      <c r="G209" s="122"/>
      <c r="H209" s="119"/>
      <c r="I209" s="101"/>
      <c r="J209" s="120"/>
      <c r="K209" s="126"/>
      <c r="L209" s="123"/>
      <c r="M209" s="121"/>
      <c r="N209" s="124"/>
    </row>
    <row r="210" spans="1:14" ht="39.950000000000003" customHeight="1" x14ac:dyDescent="0.25">
      <c r="A210" s="125">
        <f t="shared" si="3"/>
        <v>196</v>
      </c>
      <c r="B210" s="182"/>
      <c r="C210" s="183"/>
      <c r="D210" s="99"/>
      <c r="E210" s="90"/>
      <c r="F210" s="105"/>
      <c r="G210" s="89"/>
      <c r="H210" s="101"/>
      <c r="I210" s="90"/>
      <c r="J210" s="102"/>
      <c r="K210" s="127"/>
      <c r="L210" s="91"/>
      <c r="M210" s="103"/>
      <c r="N210" s="92"/>
    </row>
    <row r="211" spans="1:14" ht="39.950000000000003" customHeight="1" x14ac:dyDescent="0.25">
      <c r="A211" s="125">
        <f t="shared" si="3"/>
        <v>197</v>
      </c>
      <c r="B211" s="181"/>
      <c r="C211" s="182"/>
      <c r="D211" s="117"/>
      <c r="E211" s="101"/>
      <c r="F211" s="118"/>
      <c r="G211" s="122"/>
      <c r="H211" s="119"/>
      <c r="I211" s="101"/>
      <c r="J211" s="120"/>
      <c r="K211" s="126"/>
      <c r="L211" s="123"/>
      <c r="M211" s="121"/>
      <c r="N211" s="124"/>
    </row>
    <row r="212" spans="1:14" ht="39.950000000000003" customHeight="1" x14ac:dyDescent="0.25">
      <c r="A212" s="125">
        <f t="shared" si="3"/>
        <v>198</v>
      </c>
      <c r="B212" s="182"/>
      <c r="C212" s="183"/>
      <c r="D212" s="99"/>
      <c r="E212" s="90"/>
      <c r="F212" s="105"/>
      <c r="G212" s="89"/>
      <c r="H212" s="101"/>
      <c r="I212" s="90"/>
      <c r="J212" s="102"/>
      <c r="K212" s="127"/>
      <c r="L212" s="91"/>
      <c r="M212" s="103"/>
      <c r="N212" s="92"/>
    </row>
    <row r="213" spans="1:14" ht="39.950000000000003" customHeight="1" x14ac:dyDescent="0.25">
      <c r="A213" s="125">
        <f t="shared" si="3"/>
        <v>199</v>
      </c>
      <c r="B213" s="181"/>
      <c r="C213" s="182"/>
      <c r="D213" s="117"/>
      <c r="E213" s="101"/>
      <c r="F213" s="118"/>
      <c r="G213" s="122"/>
      <c r="H213" s="119"/>
      <c r="I213" s="101"/>
      <c r="J213" s="120"/>
      <c r="K213" s="126"/>
      <c r="L213" s="123"/>
      <c r="M213" s="121"/>
      <c r="N213" s="124"/>
    </row>
    <row r="214" spans="1:14" ht="39.950000000000003" customHeight="1" x14ac:dyDescent="0.25">
      <c r="A214" s="125">
        <f t="shared" si="3"/>
        <v>200</v>
      </c>
      <c r="B214" s="182"/>
      <c r="C214" s="183"/>
      <c r="D214" s="99"/>
      <c r="E214" s="90"/>
      <c r="F214" s="105"/>
      <c r="G214" s="89"/>
      <c r="H214" s="101"/>
      <c r="I214" s="90"/>
      <c r="J214" s="102"/>
      <c r="K214" s="127"/>
      <c r="L214" s="91"/>
      <c r="M214" s="103"/>
      <c r="N214" s="92"/>
    </row>
    <row r="215" spans="1:14" ht="39.950000000000003" customHeight="1" x14ac:dyDescent="0.25">
      <c r="A215" s="125">
        <f t="shared" si="3"/>
        <v>201</v>
      </c>
      <c r="B215" s="181"/>
      <c r="C215" s="182"/>
      <c r="D215" s="117"/>
      <c r="E215" s="101"/>
      <c r="F215" s="118"/>
      <c r="G215" s="122"/>
      <c r="H215" s="119"/>
      <c r="I215" s="101"/>
      <c r="J215" s="120"/>
      <c r="K215" s="126"/>
      <c r="L215" s="123"/>
      <c r="M215" s="121"/>
      <c r="N215" s="124"/>
    </row>
    <row r="216" spans="1:14" ht="39.950000000000003" customHeight="1" x14ac:dyDescent="0.25">
      <c r="A216" s="125">
        <f t="shared" si="3"/>
        <v>202</v>
      </c>
      <c r="B216" s="182"/>
      <c r="C216" s="183"/>
      <c r="D216" s="99"/>
      <c r="E216" s="90"/>
      <c r="F216" s="105"/>
      <c r="G216" s="89"/>
      <c r="H216" s="101"/>
      <c r="I216" s="90"/>
      <c r="J216" s="102"/>
      <c r="K216" s="127"/>
      <c r="L216" s="91"/>
      <c r="M216" s="103"/>
      <c r="N216" s="92"/>
    </row>
    <row r="217" spans="1:14" ht="39.950000000000003" customHeight="1" x14ac:dyDescent="0.25">
      <c r="A217" s="125">
        <f t="shared" si="3"/>
        <v>203</v>
      </c>
      <c r="B217" s="181"/>
      <c r="C217" s="182"/>
      <c r="D217" s="117"/>
      <c r="E217" s="101"/>
      <c r="F217" s="118"/>
      <c r="G217" s="122"/>
      <c r="H217" s="119"/>
      <c r="I217" s="101"/>
      <c r="J217" s="120"/>
      <c r="K217" s="126"/>
      <c r="L217" s="123"/>
      <c r="M217" s="121"/>
      <c r="N217" s="124"/>
    </row>
    <row r="218" spans="1:14" ht="39.950000000000003" customHeight="1" x14ac:dyDescent="0.25">
      <c r="A218" s="125">
        <f t="shared" si="3"/>
        <v>204</v>
      </c>
      <c r="B218" s="182"/>
      <c r="C218" s="183"/>
      <c r="D218" s="99"/>
      <c r="E218" s="90"/>
      <c r="F218" s="105"/>
      <c r="G218" s="89"/>
      <c r="H218" s="101"/>
      <c r="I218" s="90"/>
      <c r="J218" s="102"/>
      <c r="K218" s="127"/>
      <c r="L218" s="91"/>
      <c r="M218" s="103"/>
      <c r="N218" s="92"/>
    </row>
    <row r="219" spans="1:14" ht="39.950000000000003" customHeight="1" x14ac:dyDescent="0.25">
      <c r="A219" s="125">
        <f t="shared" si="3"/>
        <v>205</v>
      </c>
      <c r="B219" s="181"/>
      <c r="C219" s="182"/>
      <c r="D219" s="117"/>
      <c r="E219" s="101"/>
      <c r="F219" s="118"/>
      <c r="G219" s="122"/>
      <c r="H219" s="119"/>
      <c r="I219" s="101"/>
      <c r="J219" s="120"/>
      <c r="K219" s="126"/>
      <c r="L219" s="123"/>
      <c r="M219" s="121"/>
      <c r="N219" s="124"/>
    </row>
    <row r="220" spans="1:14" ht="39.950000000000003" customHeight="1" x14ac:dyDescent="0.25">
      <c r="A220" s="125">
        <f t="shared" si="3"/>
        <v>206</v>
      </c>
      <c r="B220" s="182"/>
      <c r="C220" s="183"/>
      <c r="D220" s="99"/>
      <c r="E220" s="90"/>
      <c r="F220" s="105"/>
      <c r="G220" s="89"/>
      <c r="H220" s="101"/>
      <c r="I220" s="90"/>
      <c r="J220" s="102"/>
      <c r="K220" s="127"/>
      <c r="L220" s="91"/>
      <c r="M220" s="103"/>
      <c r="N220" s="92"/>
    </row>
    <row r="221" spans="1:14" ht="39.950000000000003" customHeight="1" x14ac:dyDescent="0.25">
      <c r="A221" s="125">
        <f t="shared" si="3"/>
        <v>207</v>
      </c>
      <c r="B221" s="181"/>
      <c r="C221" s="182"/>
      <c r="D221" s="117"/>
      <c r="E221" s="101"/>
      <c r="F221" s="118"/>
      <c r="G221" s="122"/>
      <c r="H221" s="119"/>
      <c r="I221" s="101"/>
      <c r="J221" s="120"/>
      <c r="K221" s="126"/>
      <c r="L221" s="123"/>
      <c r="M221" s="121"/>
      <c r="N221" s="124"/>
    </row>
    <row r="222" spans="1:14" ht="39.950000000000003" customHeight="1" x14ac:dyDescent="0.25">
      <c r="A222" s="125">
        <f t="shared" si="3"/>
        <v>208</v>
      </c>
      <c r="B222" s="182"/>
      <c r="C222" s="183"/>
      <c r="D222" s="99"/>
      <c r="E222" s="90"/>
      <c r="F222" s="105"/>
      <c r="G222" s="89"/>
      <c r="H222" s="101"/>
      <c r="I222" s="90"/>
      <c r="J222" s="102"/>
      <c r="K222" s="127"/>
      <c r="L222" s="91"/>
      <c r="M222" s="103"/>
      <c r="N222" s="92"/>
    </row>
    <row r="223" spans="1:14" ht="39.950000000000003" customHeight="1" x14ac:dyDescent="0.25">
      <c r="A223" s="125">
        <f t="shared" si="3"/>
        <v>209</v>
      </c>
      <c r="B223" s="181"/>
      <c r="C223" s="182"/>
      <c r="D223" s="117"/>
      <c r="E223" s="101"/>
      <c r="F223" s="118"/>
      <c r="G223" s="122"/>
      <c r="H223" s="119"/>
      <c r="I223" s="101"/>
      <c r="J223" s="120"/>
      <c r="K223" s="126"/>
      <c r="L223" s="123"/>
      <c r="M223" s="121"/>
      <c r="N223" s="124"/>
    </row>
    <row r="224" spans="1:14" ht="39.950000000000003" customHeight="1" x14ac:dyDescent="0.25">
      <c r="A224" s="125">
        <f t="shared" si="3"/>
        <v>210</v>
      </c>
      <c r="B224" s="182"/>
      <c r="C224" s="183"/>
      <c r="D224" s="99"/>
      <c r="E224" s="90"/>
      <c r="F224" s="105"/>
      <c r="G224" s="89"/>
      <c r="H224" s="101"/>
      <c r="I224" s="90"/>
      <c r="J224" s="102"/>
      <c r="K224" s="127"/>
      <c r="L224" s="91"/>
      <c r="M224" s="103"/>
      <c r="N224" s="92"/>
    </row>
    <row r="225" spans="1:14" ht="39.950000000000003" customHeight="1" x14ac:dyDescent="0.25">
      <c r="A225" s="125">
        <f t="shared" si="3"/>
        <v>211</v>
      </c>
      <c r="B225" s="181"/>
      <c r="C225" s="182"/>
      <c r="D225" s="117"/>
      <c r="E225" s="101"/>
      <c r="F225" s="118"/>
      <c r="G225" s="122"/>
      <c r="H225" s="119"/>
      <c r="I225" s="101"/>
      <c r="J225" s="120"/>
      <c r="K225" s="126"/>
      <c r="L225" s="123"/>
      <c r="M225" s="121"/>
      <c r="N225" s="124"/>
    </row>
    <row r="226" spans="1:14" ht="39.950000000000003" customHeight="1" x14ac:dyDescent="0.25">
      <c r="A226" s="125">
        <f t="shared" si="3"/>
        <v>212</v>
      </c>
      <c r="B226" s="182"/>
      <c r="C226" s="183"/>
      <c r="D226" s="99"/>
      <c r="E226" s="90"/>
      <c r="F226" s="105"/>
      <c r="G226" s="89"/>
      <c r="H226" s="101"/>
      <c r="I226" s="90"/>
      <c r="J226" s="102"/>
      <c r="K226" s="127"/>
      <c r="L226" s="91"/>
      <c r="M226" s="103"/>
      <c r="N226" s="92"/>
    </row>
    <row r="227" spans="1:14" ht="39.950000000000003" customHeight="1" x14ac:dyDescent="0.25">
      <c r="A227" s="125">
        <f t="shared" si="3"/>
        <v>213</v>
      </c>
      <c r="B227" s="181"/>
      <c r="C227" s="182"/>
      <c r="D227" s="117"/>
      <c r="E227" s="101"/>
      <c r="F227" s="118"/>
      <c r="G227" s="122"/>
      <c r="H227" s="119"/>
      <c r="I227" s="101"/>
      <c r="J227" s="120"/>
      <c r="K227" s="126"/>
      <c r="L227" s="123"/>
      <c r="M227" s="121"/>
      <c r="N227" s="124"/>
    </row>
    <row r="228" spans="1:14" ht="39.950000000000003" customHeight="1" x14ac:dyDescent="0.25">
      <c r="A228" s="125">
        <f t="shared" si="3"/>
        <v>214</v>
      </c>
      <c r="B228" s="182"/>
      <c r="C228" s="183"/>
      <c r="D228" s="99"/>
      <c r="E228" s="90"/>
      <c r="F228" s="105"/>
      <c r="G228" s="89"/>
      <c r="H228" s="101"/>
      <c r="I228" s="90"/>
      <c r="J228" s="102"/>
      <c r="K228" s="127"/>
      <c r="L228" s="91"/>
      <c r="M228" s="103"/>
      <c r="N228" s="92"/>
    </row>
    <row r="229" spans="1:14" ht="39.950000000000003" customHeight="1" x14ac:dyDescent="0.25">
      <c r="A229" s="125">
        <f t="shared" si="3"/>
        <v>215</v>
      </c>
      <c r="B229" s="181"/>
      <c r="C229" s="182"/>
      <c r="D229" s="117"/>
      <c r="E229" s="101"/>
      <c r="F229" s="118"/>
      <c r="G229" s="122"/>
      <c r="H229" s="119"/>
      <c r="I229" s="101"/>
      <c r="J229" s="120"/>
      <c r="K229" s="126"/>
      <c r="L229" s="123"/>
      <c r="M229" s="121"/>
      <c r="N229" s="124"/>
    </row>
    <row r="230" spans="1:14" ht="39.950000000000003" customHeight="1" x14ac:dyDescent="0.25">
      <c r="A230" s="125">
        <f t="shared" si="3"/>
        <v>216</v>
      </c>
      <c r="B230" s="182"/>
      <c r="C230" s="183"/>
      <c r="D230" s="99"/>
      <c r="E230" s="90"/>
      <c r="F230" s="105"/>
      <c r="G230" s="89"/>
      <c r="H230" s="101"/>
      <c r="I230" s="90"/>
      <c r="J230" s="102"/>
      <c r="K230" s="127"/>
      <c r="L230" s="91"/>
      <c r="M230" s="103"/>
      <c r="N230" s="92"/>
    </row>
    <row r="231" spans="1:14" ht="39.950000000000003" customHeight="1" x14ac:dyDescent="0.25">
      <c r="A231" s="125">
        <f t="shared" si="3"/>
        <v>217</v>
      </c>
      <c r="B231" s="181"/>
      <c r="C231" s="182"/>
      <c r="D231" s="117"/>
      <c r="E231" s="101"/>
      <c r="F231" s="118"/>
      <c r="G231" s="122"/>
      <c r="H231" s="119"/>
      <c r="I231" s="101"/>
      <c r="J231" s="120"/>
      <c r="K231" s="126"/>
      <c r="L231" s="123"/>
      <c r="M231" s="121"/>
      <c r="N231" s="124"/>
    </row>
    <row r="232" spans="1:14" ht="39.950000000000003" customHeight="1" x14ac:dyDescent="0.25">
      <c r="A232" s="125">
        <f t="shared" si="3"/>
        <v>218</v>
      </c>
      <c r="B232" s="182"/>
      <c r="C232" s="183"/>
      <c r="D232" s="99"/>
      <c r="E232" s="90"/>
      <c r="F232" s="105"/>
      <c r="G232" s="89"/>
      <c r="H232" s="101"/>
      <c r="I232" s="90"/>
      <c r="J232" s="102"/>
      <c r="K232" s="127"/>
      <c r="L232" s="91"/>
      <c r="M232" s="103"/>
      <c r="N232" s="92"/>
    </row>
    <row r="233" spans="1:14" ht="39.950000000000003" customHeight="1" x14ac:dyDescent="0.25">
      <c r="A233" s="125">
        <f t="shared" si="3"/>
        <v>219</v>
      </c>
      <c r="B233" s="181"/>
      <c r="C233" s="182"/>
      <c r="D233" s="117"/>
      <c r="E233" s="101"/>
      <c r="F233" s="118"/>
      <c r="G233" s="122"/>
      <c r="H233" s="119"/>
      <c r="I233" s="101"/>
      <c r="J233" s="120"/>
      <c r="K233" s="126"/>
      <c r="L233" s="123"/>
      <c r="M233" s="121"/>
      <c r="N233" s="124"/>
    </row>
    <row r="234" spans="1:14" ht="39.950000000000003" customHeight="1" x14ac:dyDescent="0.25">
      <c r="A234" s="125">
        <f t="shared" si="3"/>
        <v>220</v>
      </c>
      <c r="B234" s="182"/>
      <c r="C234" s="183"/>
      <c r="D234" s="99"/>
      <c r="E234" s="90"/>
      <c r="F234" s="105"/>
      <c r="G234" s="89"/>
      <c r="H234" s="101"/>
      <c r="I234" s="90"/>
      <c r="J234" s="102"/>
      <c r="K234" s="127"/>
      <c r="L234" s="91"/>
      <c r="M234" s="103"/>
      <c r="N234" s="92"/>
    </row>
    <row r="235" spans="1:14" ht="39.950000000000003" customHeight="1" x14ac:dyDescent="0.25">
      <c r="A235" s="125">
        <f t="shared" si="3"/>
        <v>221</v>
      </c>
      <c r="B235" s="181"/>
      <c r="C235" s="182"/>
      <c r="D235" s="117"/>
      <c r="E235" s="101"/>
      <c r="F235" s="118"/>
      <c r="G235" s="122"/>
      <c r="H235" s="119"/>
      <c r="I235" s="101"/>
      <c r="J235" s="120"/>
      <c r="K235" s="126"/>
      <c r="L235" s="123"/>
      <c r="M235" s="121"/>
      <c r="N235" s="124"/>
    </row>
    <row r="236" spans="1:14" ht="39.950000000000003" customHeight="1" x14ac:dyDescent="0.25">
      <c r="A236" s="125">
        <f t="shared" si="3"/>
        <v>222</v>
      </c>
      <c r="B236" s="182"/>
      <c r="C236" s="183"/>
      <c r="D236" s="99"/>
      <c r="E236" s="90"/>
      <c r="F236" s="105"/>
      <c r="G236" s="89"/>
      <c r="H236" s="101"/>
      <c r="I236" s="90"/>
      <c r="J236" s="102"/>
      <c r="K236" s="127"/>
      <c r="L236" s="91"/>
      <c r="M236" s="103"/>
      <c r="N236" s="92"/>
    </row>
    <row r="237" spans="1:14" ht="39.950000000000003" customHeight="1" x14ac:dyDescent="0.25">
      <c r="A237" s="125">
        <f t="shared" si="3"/>
        <v>223</v>
      </c>
      <c r="B237" s="181"/>
      <c r="C237" s="182"/>
      <c r="D237" s="117"/>
      <c r="E237" s="101"/>
      <c r="F237" s="118"/>
      <c r="G237" s="122"/>
      <c r="H237" s="119"/>
      <c r="I237" s="101"/>
      <c r="J237" s="120"/>
      <c r="K237" s="126"/>
      <c r="L237" s="123"/>
      <c r="M237" s="121"/>
      <c r="N237" s="124"/>
    </row>
    <row r="238" spans="1:14" ht="39.950000000000003" customHeight="1" x14ac:dyDescent="0.25">
      <c r="A238" s="125">
        <f t="shared" si="3"/>
        <v>224</v>
      </c>
      <c r="B238" s="182"/>
      <c r="C238" s="183"/>
      <c r="D238" s="99"/>
      <c r="E238" s="90"/>
      <c r="F238" s="105"/>
      <c r="G238" s="89"/>
      <c r="H238" s="101"/>
      <c r="I238" s="90"/>
      <c r="J238" s="102"/>
      <c r="K238" s="127"/>
      <c r="L238" s="91"/>
      <c r="M238" s="103"/>
      <c r="N238" s="92"/>
    </row>
    <row r="239" spans="1:14" ht="39.950000000000003" customHeight="1" x14ac:dyDescent="0.25">
      <c r="A239" s="125">
        <f t="shared" si="3"/>
        <v>225</v>
      </c>
      <c r="B239" s="181"/>
      <c r="C239" s="182"/>
      <c r="D239" s="117"/>
      <c r="E239" s="101"/>
      <c r="F239" s="118"/>
      <c r="G239" s="122"/>
      <c r="H239" s="119"/>
      <c r="I239" s="101"/>
      <c r="J239" s="120"/>
      <c r="K239" s="126"/>
      <c r="L239" s="123"/>
      <c r="M239" s="121"/>
      <c r="N239" s="124"/>
    </row>
    <row r="240" spans="1:14" ht="39.950000000000003" customHeight="1" x14ac:dyDescent="0.25">
      <c r="A240" s="125">
        <f t="shared" si="3"/>
        <v>226</v>
      </c>
      <c r="B240" s="182"/>
      <c r="C240" s="183"/>
      <c r="D240" s="99"/>
      <c r="E240" s="90"/>
      <c r="F240" s="105"/>
      <c r="G240" s="89"/>
      <c r="H240" s="101"/>
      <c r="I240" s="90"/>
      <c r="J240" s="102"/>
      <c r="K240" s="127"/>
      <c r="L240" s="91"/>
      <c r="M240" s="103"/>
      <c r="N240" s="92"/>
    </row>
    <row r="241" spans="1:14" ht="39.950000000000003" customHeight="1" x14ac:dyDescent="0.25">
      <c r="A241" s="125">
        <f t="shared" si="3"/>
        <v>227</v>
      </c>
      <c r="B241" s="181"/>
      <c r="C241" s="182"/>
      <c r="D241" s="117"/>
      <c r="E241" s="101"/>
      <c r="F241" s="118"/>
      <c r="G241" s="122"/>
      <c r="H241" s="119"/>
      <c r="I241" s="101"/>
      <c r="J241" s="120"/>
      <c r="K241" s="126"/>
      <c r="L241" s="123"/>
      <c r="M241" s="121"/>
      <c r="N241" s="124"/>
    </row>
    <row r="242" spans="1:14" ht="39.950000000000003" customHeight="1" x14ac:dyDescent="0.25">
      <c r="A242" s="125">
        <f t="shared" si="3"/>
        <v>228</v>
      </c>
      <c r="B242" s="182"/>
      <c r="C242" s="183"/>
      <c r="D242" s="99"/>
      <c r="E242" s="90"/>
      <c r="F242" s="105"/>
      <c r="G242" s="89"/>
      <c r="H242" s="101"/>
      <c r="I242" s="90"/>
      <c r="J242" s="102"/>
      <c r="K242" s="127"/>
      <c r="L242" s="91"/>
      <c r="M242" s="103"/>
      <c r="N242" s="92"/>
    </row>
    <row r="243" spans="1:14" ht="39.950000000000003" customHeight="1" x14ac:dyDescent="0.25">
      <c r="A243" s="125">
        <f t="shared" si="3"/>
        <v>229</v>
      </c>
      <c r="B243" s="181"/>
      <c r="C243" s="182"/>
      <c r="D243" s="117"/>
      <c r="E243" s="101"/>
      <c r="F243" s="118"/>
      <c r="G243" s="122"/>
      <c r="H243" s="119"/>
      <c r="I243" s="101"/>
      <c r="J243" s="120"/>
      <c r="K243" s="126"/>
      <c r="L243" s="123"/>
      <c r="M243" s="121"/>
      <c r="N243" s="124"/>
    </row>
    <row r="244" spans="1:14" ht="39.950000000000003" customHeight="1" x14ac:dyDescent="0.25">
      <c r="A244" s="125">
        <f t="shared" si="3"/>
        <v>230</v>
      </c>
      <c r="B244" s="182"/>
      <c r="C244" s="183"/>
      <c r="D244" s="99"/>
      <c r="E244" s="90"/>
      <c r="F244" s="105"/>
      <c r="G244" s="89"/>
      <c r="H244" s="101"/>
      <c r="I244" s="90"/>
      <c r="J244" s="102"/>
      <c r="K244" s="127"/>
      <c r="L244" s="91"/>
      <c r="M244" s="103"/>
      <c r="N244" s="92"/>
    </row>
    <row r="245" spans="1:14" ht="39.950000000000003" customHeight="1" x14ac:dyDescent="0.25">
      <c r="A245" s="125">
        <f t="shared" si="3"/>
        <v>231</v>
      </c>
      <c r="B245" s="181"/>
      <c r="C245" s="182"/>
      <c r="D245" s="117"/>
      <c r="E245" s="101"/>
      <c r="F245" s="118"/>
      <c r="G245" s="122"/>
      <c r="H245" s="119"/>
      <c r="I245" s="101"/>
      <c r="J245" s="120"/>
      <c r="K245" s="126"/>
      <c r="L245" s="123"/>
      <c r="M245" s="121"/>
      <c r="N245" s="124"/>
    </row>
    <row r="246" spans="1:14" ht="39.950000000000003" customHeight="1" x14ac:dyDescent="0.25">
      <c r="A246" s="125">
        <f t="shared" si="3"/>
        <v>232</v>
      </c>
      <c r="B246" s="182"/>
      <c r="C246" s="183"/>
      <c r="D246" s="99"/>
      <c r="E246" s="90"/>
      <c r="F246" s="105"/>
      <c r="G246" s="89"/>
      <c r="H246" s="101"/>
      <c r="I246" s="90"/>
      <c r="J246" s="102"/>
      <c r="K246" s="127"/>
      <c r="L246" s="91"/>
      <c r="M246" s="103"/>
      <c r="N246" s="92"/>
    </row>
    <row r="247" spans="1:14" ht="39.950000000000003" customHeight="1" x14ac:dyDescent="0.25">
      <c r="A247" s="125">
        <f t="shared" si="3"/>
        <v>233</v>
      </c>
      <c r="B247" s="181"/>
      <c r="C247" s="182"/>
      <c r="D247" s="117"/>
      <c r="E247" s="101"/>
      <c r="F247" s="118"/>
      <c r="G247" s="122"/>
      <c r="H247" s="119"/>
      <c r="I247" s="101"/>
      <c r="J247" s="120"/>
      <c r="K247" s="126"/>
      <c r="L247" s="123"/>
      <c r="M247" s="121"/>
      <c r="N247" s="124"/>
    </row>
    <row r="248" spans="1:14" ht="39.950000000000003" customHeight="1" x14ac:dyDescent="0.25">
      <c r="A248" s="125">
        <f t="shared" si="3"/>
        <v>234</v>
      </c>
      <c r="B248" s="182"/>
      <c r="C248" s="183"/>
      <c r="D248" s="99"/>
      <c r="E248" s="90"/>
      <c r="F248" s="105"/>
      <c r="G248" s="89"/>
      <c r="H248" s="101"/>
      <c r="I248" s="90"/>
      <c r="J248" s="102"/>
      <c r="K248" s="127"/>
      <c r="L248" s="91"/>
      <c r="M248" s="103"/>
      <c r="N248" s="92"/>
    </row>
    <row r="249" spans="1:14" ht="39.950000000000003" customHeight="1" x14ac:dyDescent="0.25">
      <c r="A249" s="125">
        <f t="shared" si="3"/>
        <v>235</v>
      </c>
      <c r="B249" s="181"/>
      <c r="C249" s="182"/>
      <c r="D249" s="117"/>
      <c r="E249" s="101"/>
      <c r="F249" s="118"/>
      <c r="G249" s="122"/>
      <c r="H249" s="119"/>
      <c r="I249" s="101"/>
      <c r="J249" s="120"/>
      <c r="K249" s="126"/>
      <c r="L249" s="123"/>
      <c r="M249" s="121"/>
      <c r="N249" s="124"/>
    </row>
    <row r="250" spans="1:14" ht="39.950000000000003" customHeight="1" x14ac:dyDescent="0.25">
      <c r="A250" s="125">
        <f t="shared" si="3"/>
        <v>236</v>
      </c>
      <c r="B250" s="182"/>
      <c r="C250" s="183"/>
      <c r="D250" s="99"/>
      <c r="E250" s="90"/>
      <c r="F250" s="105"/>
      <c r="G250" s="89"/>
      <c r="H250" s="101"/>
      <c r="I250" s="90"/>
      <c r="J250" s="102"/>
      <c r="K250" s="127"/>
      <c r="L250" s="91"/>
      <c r="M250" s="103"/>
      <c r="N250" s="92"/>
    </row>
    <row r="251" spans="1:14" ht="39.950000000000003" customHeight="1" x14ac:dyDescent="0.25">
      <c r="A251" s="125">
        <f t="shared" si="3"/>
        <v>237</v>
      </c>
      <c r="B251" s="181"/>
      <c r="C251" s="182"/>
      <c r="D251" s="117"/>
      <c r="E251" s="101"/>
      <c r="F251" s="118"/>
      <c r="G251" s="122"/>
      <c r="H251" s="119"/>
      <c r="I251" s="101"/>
      <c r="J251" s="120"/>
      <c r="K251" s="126"/>
      <c r="L251" s="123"/>
      <c r="M251" s="121"/>
      <c r="N251" s="124"/>
    </row>
    <row r="252" spans="1:14" ht="39.950000000000003" customHeight="1" x14ac:dyDescent="0.25">
      <c r="A252" s="125">
        <f t="shared" si="3"/>
        <v>238</v>
      </c>
      <c r="B252" s="182"/>
      <c r="C252" s="183"/>
      <c r="D252" s="99"/>
      <c r="E252" s="90"/>
      <c r="F252" s="105"/>
      <c r="G252" s="89"/>
      <c r="H252" s="101"/>
      <c r="I252" s="90"/>
      <c r="J252" s="102"/>
      <c r="K252" s="127"/>
      <c r="L252" s="91"/>
      <c r="M252" s="103"/>
      <c r="N252" s="92"/>
    </row>
    <row r="253" spans="1:14" ht="39.950000000000003" customHeight="1" x14ac:dyDescent="0.25">
      <c r="A253" s="125">
        <f t="shared" si="3"/>
        <v>239</v>
      </c>
      <c r="B253" s="181"/>
      <c r="C253" s="182"/>
      <c r="D253" s="117"/>
      <c r="E253" s="101"/>
      <c r="F253" s="118"/>
      <c r="G253" s="122"/>
      <c r="H253" s="119"/>
      <c r="I253" s="101"/>
      <c r="J253" s="120"/>
      <c r="K253" s="126"/>
      <c r="L253" s="123"/>
      <c r="M253" s="121"/>
      <c r="N253" s="124"/>
    </row>
    <row r="254" spans="1:14" ht="39.950000000000003" customHeight="1" x14ac:dyDescent="0.25">
      <c r="A254" s="125">
        <f t="shared" si="3"/>
        <v>240</v>
      </c>
      <c r="B254" s="182"/>
      <c r="C254" s="183"/>
      <c r="D254" s="99"/>
      <c r="E254" s="90"/>
      <c r="F254" s="105"/>
      <c r="G254" s="89"/>
      <c r="H254" s="101"/>
      <c r="I254" s="90"/>
      <c r="J254" s="102"/>
      <c r="K254" s="127"/>
      <c r="L254" s="91"/>
      <c r="M254" s="103"/>
      <c r="N254" s="92"/>
    </row>
    <row r="255" spans="1:14" ht="39.950000000000003" customHeight="1" x14ac:dyDescent="0.25">
      <c r="A255" s="125">
        <f t="shared" si="3"/>
        <v>241</v>
      </c>
      <c r="B255" s="181"/>
      <c r="C255" s="182"/>
      <c r="D255" s="117"/>
      <c r="E255" s="101"/>
      <c r="F255" s="118"/>
      <c r="G255" s="122"/>
      <c r="H255" s="119"/>
      <c r="I255" s="101"/>
      <c r="J255" s="120"/>
      <c r="K255" s="126"/>
      <c r="L255" s="123"/>
      <c r="M255" s="121"/>
      <c r="N255" s="124"/>
    </row>
    <row r="256" spans="1:14" ht="39.950000000000003" customHeight="1" x14ac:dyDescent="0.25">
      <c r="A256" s="125">
        <f t="shared" si="3"/>
        <v>242</v>
      </c>
      <c r="B256" s="182"/>
      <c r="C256" s="183"/>
      <c r="D256" s="99"/>
      <c r="E256" s="90"/>
      <c r="F256" s="105"/>
      <c r="G256" s="89"/>
      <c r="H256" s="101"/>
      <c r="I256" s="90"/>
      <c r="J256" s="102"/>
      <c r="K256" s="127"/>
      <c r="L256" s="91"/>
      <c r="M256" s="103"/>
      <c r="N256" s="92"/>
    </row>
    <row r="257" spans="1:14" ht="39.950000000000003" customHeight="1" x14ac:dyDescent="0.25">
      <c r="A257" s="125">
        <f t="shared" si="3"/>
        <v>243</v>
      </c>
      <c r="B257" s="181"/>
      <c r="C257" s="182"/>
      <c r="D257" s="117"/>
      <c r="E257" s="101"/>
      <c r="F257" s="118"/>
      <c r="G257" s="122"/>
      <c r="H257" s="119"/>
      <c r="I257" s="101"/>
      <c r="J257" s="120"/>
      <c r="K257" s="126"/>
      <c r="L257" s="123"/>
      <c r="M257" s="121"/>
      <c r="N257" s="124"/>
    </row>
    <row r="258" spans="1:14" ht="39.950000000000003" customHeight="1" x14ac:dyDescent="0.25">
      <c r="A258" s="125">
        <f t="shared" si="3"/>
        <v>244</v>
      </c>
      <c r="B258" s="182"/>
      <c r="C258" s="183"/>
      <c r="D258" s="99"/>
      <c r="E258" s="90"/>
      <c r="F258" s="105"/>
      <c r="G258" s="89"/>
      <c r="H258" s="101"/>
      <c r="I258" s="90"/>
      <c r="J258" s="102"/>
      <c r="K258" s="127"/>
      <c r="L258" s="91"/>
      <c r="M258" s="103"/>
      <c r="N258" s="92"/>
    </row>
    <row r="259" spans="1:14" ht="39.950000000000003" customHeight="1" x14ac:dyDescent="0.25">
      <c r="A259" s="125">
        <f t="shared" si="3"/>
        <v>245</v>
      </c>
      <c r="B259" s="181"/>
      <c r="C259" s="182"/>
      <c r="D259" s="117"/>
      <c r="E259" s="101"/>
      <c r="F259" s="118"/>
      <c r="G259" s="122"/>
      <c r="H259" s="119"/>
      <c r="I259" s="101"/>
      <c r="J259" s="120"/>
      <c r="K259" s="126"/>
      <c r="L259" s="123"/>
      <c r="M259" s="121"/>
      <c r="N259" s="124"/>
    </row>
    <row r="260" spans="1:14" ht="39.950000000000003" customHeight="1" x14ac:dyDescent="0.25">
      <c r="A260" s="125">
        <f t="shared" si="3"/>
        <v>246</v>
      </c>
      <c r="B260" s="182"/>
      <c r="C260" s="183"/>
      <c r="D260" s="99"/>
      <c r="E260" s="90"/>
      <c r="F260" s="105"/>
      <c r="G260" s="89"/>
      <c r="H260" s="101"/>
      <c r="I260" s="90"/>
      <c r="J260" s="102"/>
      <c r="K260" s="127"/>
      <c r="L260" s="91"/>
      <c r="M260" s="103"/>
      <c r="N260" s="92"/>
    </row>
    <row r="261" spans="1:14" ht="39.950000000000003" customHeight="1" x14ac:dyDescent="0.25">
      <c r="A261" s="125">
        <f t="shared" si="3"/>
        <v>247</v>
      </c>
      <c r="B261" s="181"/>
      <c r="C261" s="182"/>
      <c r="D261" s="117"/>
      <c r="E261" s="101"/>
      <c r="F261" s="118"/>
      <c r="G261" s="122"/>
      <c r="H261" s="119"/>
      <c r="I261" s="101"/>
      <c r="J261" s="120"/>
      <c r="K261" s="126"/>
      <c r="L261" s="123"/>
      <c r="M261" s="121"/>
      <c r="N261" s="124"/>
    </row>
    <row r="262" spans="1:14" ht="39.950000000000003" customHeight="1" x14ac:dyDescent="0.25">
      <c r="A262" s="125">
        <f t="shared" si="3"/>
        <v>248</v>
      </c>
      <c r="B262" s="182"/>
      <c r="C262" s="183"/>
      <c r="D262" s="99"/>
      <c r="E262" s="90"/>
      <c r="F262" s="105"/>
      <c r="G262" s="89"/>
      <c r="H262" s="101"/>
      <c r="I262" s="90"/>
      <c r="J262" s="102"/>
      <c r="K262" s="127"/>
      <c r="L262" s="91"/>
      <c r="M262" s="103"/>
      <c r="N262" s="92"/>
    </row>
    <row r="263" spans="1:14" ht="39.950000000000003" customHeight="1" x14ac:dyDescent="0.25">
      <c r="A263" s="125">
        <f t="shared" si="3"/>
        <v>249</v>
      </c>
      <c r="B263" s="181"/>
      <c r="C263" s="182"/>
      <c r="D263" s="117"/>
      <c r="E263" s="101"/>
      <c r="F263" s="118"/>
      <c r="G263" s="122"/>
      <c r="H263" s="119"/>
      <c r="I263" s="101"/>
      <c r="J263" s="120"/>
      <c r="K263" s="126"/>
      <c r="L263" s="123"/>
      <c r="M263" s="121"/>
      <c r="N263" s="124"/>
    </row>
    <row r="264" spans="1:14" ht="39.950000000000003" customHeight="1" x14ac:dyDescent="0.25">
      <c r="A264" s="125">
        <f t="shared" si="3"/>
        <v>250</v>
      </c>
      <c r="B264" s="182"/>
      <c r="C264" s="183"/>
      <c r="D264" s="99"/>
      <c r="E264" s="90"/>
      <c r="F264" s="105"/>
      <c r="G264" s="89"/>
      <c r="H264" s="101"/>
      <c r="I264" s="90"/>
      <c r="J264" s="102"/>
      <c r="K264" s="127"/>
      <c r="L264" s="91"/>
      <c r="M264" s="103"/>
      <c r="N264" s="92"/>
    </row>
    <row r="265" spans="1:14" ht="39.950000000000003" customHeight="1" x14ac:dyDescent="0.25">
      <c r="A265" s="125">
        <f t="shared" si="3"/>
        <v>251</v>
      </c>
      <c r="B265" s="181"/>
      <c r="C265" s="182"/>
      <c r="D265" s="117"/>
      <c r="E265" s="101"/>
      <c r="F265" s="118"/>
      <c r="G265" s="122"/>
      <c r="H265" s="119"/>
      <c r="I265" s="101"/>
      <c r="J265" s="120"/>
      <c r="K265" s="126"/>
      <c r="L265" s="123"/>
      <c r="M265" s="121"/>
      <c r="N265" s="124"/>
    </row>
    <row r="266" spans="1:14" ht="39.950000000000003" customHeight="1" x14ac:dyDescent="0.25">
      <c r="A266" s="125">
        <f t="shared" si="3"/>
        <v>252</v>
      </c>
      <c r="B266" s="182"/>
      <c r="C266" s="183"/>
      <c r="D266" s="99"/>
      <c r="E266" s="90"/>
      <c r="F266" s="105"/>
      <c r="G266" s="89"/>
      <c r="H266" s="101"/>
      <c r="I266" s="90"/>
      <c r="J266" s="102"/>
      <c r="K266" s="127"/>
      <c r="L266" s="91"/>
      <c r="M266" s="103"/>
      <c r="N266" s="92"/>
    </row>
    <row r="267" spans="1:14" ht="39.950000000000003" customHeight="1" x14ac:dyDescent="0.25">
      <c r="A267" s="125">
        <f t="shared" si="3"/>
        <v>253</v>
      </c>
      <c r="B267" s="181"/>
      <c r="C267" s="182"/>
      <c r="D267" s="117"/>
      <c r="E267" s="101"/>
      <c r="F267" s="118"/>
      <c r="G267" s="122"/>
      <c r="H267" s="119"/>
      <c r="I267" s="101"/>
      <c r="J267" s="120"/>
      <c r="K267" s="126"/>
      <c r="L267" s="123"/>
      <c r="M267" s="121"/>
      <c r="N267" s="124"/>
    </row>
    <row r="268" spans="1:14" ht="39.950000000000003" customHeight="1" x14ac:dyDescent="0.25">
      <c r="A268" s="125">
        <f t="shared" si="3"/>
        <v>254</v>
      </c>
      <c r="B268" s="182"/>
      <c r="C268" s="183"/>
      <c r="D268" s="99"/>
      <c r="E268" s="90"/>
      <c r="F268" s="105"/>
      <c r="G268" s="89"/>
      <c r="H268" s="101"/>
      <c r="I268" s="90"/>
      <c r="J268" s="102"/>
      <c r="K268" s="127"/>
      <c r="L268" s="91"/>
      <c r="M268" s="103"/>
      <c r="N268" s="92"/>
    </row>
    <row r="269" spans="1:14" ht="39.950000000000003" customHeight="1" x14ac:dyDescent="0.25">
      <c r="A269" s="125">
        <f t="shared" si="3"/>
        <v>255</v>
      </c>
      <c r="B269" s="181"/>
      <c r="C269" s="182"/>
      <c r="D269" s="117"/>
      <c r="E269" s="101"/>
      <c r="F269" s="118"/>
      <c r="G269" s="122"/>
      <c r="H269" s="119"/>
      <c r="I269" s="101"/>
      <c r="J269" s="120"/>
      <c r="K269" s="126"/>
      <c r="L269" s="123"/>
      <c r="M269" s="121"/>
      <c r="N269" s="124"/>
    </row>
    <row r="270" spans="1:14" ht="39.950000000000003" customHeight="1" x14ac:dyDescent="0.25">
      <c r="A270" s="125">
        <f t="shared" si="3"/>
        <v>256</v>
      </c>
      <c r="B270" s="182"/>
      <c r="C270" s="183"/>
      <c r="D270" s="99"/>
      <c r="E270" s="90"/>
      <c r="F270" s="105"/>
      <c r="G270" s="89"/>
      <c r="H270" s="101"/>
      <c r="I270" s="90"/>
      <c r="J270" s="102"/>
      <c r="K270" s="127"/>
      <c r="L270" s="91"/>
      <c r="M270" s="103"/>
      <c r="N270" s="92"/>
    </row>
    <row r="271" spans="1:14" ht="39.950000000000003" customHeight="1" x14ac:dyDescent="0.25">
      <c r="A271" s="125">
        <f t="shared" si="3"/>
        <v>257</v>
      </c>
      <c r="B271" s="181"/>
      <c r="C271" s="182"/>
      <c r="D271" s="117"/>
      <c r="E271" s="101"/>
      <c r="F271" s="118"/>
      <c r="G271" s="122"/>
      <c r="H271" s="119"/>
      <c r="I271" s="101"/>
      <c r="J271" s="120"/>
      <c r="K271" s="126"/>
      <c r="L271" s="123"/>
      <c r="M271" s="121"/>
      <c r="N271" s="124"/>
    </row>
    <row r="272" spans="1:14" ht="39.950000000000003" customHeight="1" x14ac:dyDescent="0.25">
      <c r="A272" s="125">
        <f t="shared" ref="A272:A335" si="4">ROW(A258)</f>
        <v>258</v>
      </c>
      <c r="B272" s="182"/>
      <c r="C272" s="183"/>
      <c r="D272" s="99"/>
      <c r="E272" s="90"/>
      <c r="F272" s="105"/>
      <c r="G272" s="89"/>
      <c r="H272" s="101"/>
      <c r="I272" s="90"/>
      <c r="J272" s="102"/>
      <c r="K272" s="127"/>
      <c r="L272" s="91"/>
      <c r="M272" s="103"/>
      <c r="N272" s="92"/>
    </row>
    <row r="273" spans="1:14" ht="39.950000000000003" customHeight="1" x14ac:dyDescent="0.25">
      <c r="A273" s="125">
        <f t="shared" si="4"/>
        <v>259</v>
      </c>
      <c r="B273" s="181"/>
      <c r="C273" s="182"/>
      <c r="D273" s="117"/>
      <c r="E273" s="101"/>
      <c r="F273" s="118"/>
      <c r="G273" s="122"/>
      <c r="H273" s="119"/>
      <c r="I273" s="101"/>
      <c r="J273" s="120"/>
      <c r="K273" s="126"/>
      <c r="L273" s="123"/>
      <c r="M273" s="121"/>
      <c r="N273" s="124"/>
    </row>
    <row r="274" spans="1:14" ht="39.950000000000003" customHeight="1" x14ac:dyDescent="0.25">
      <c r="A274" s="125">
        <f t="shared" si="4"/>
        <v>260</v>
      </c>
      <c r="B274" s="182"/>
      <c r="C274" s="183"/>
      <c r="D274" s="99"/>
      <c r="E274" s="90"/>
      <c r="F274" s="105"/>
      <c r="G274" s="89"/>
      <c r="H274" s="101"/>
      <c r="I274" s="90"/>
      <c r="J274" s="102"/>
      <c r="K274" s="127"/>
      <c r="L274" s="91"/>
      <c r="M274" s="103"/>
      <c r="N274" s="92"/>
    </row>
    <row r="275" spans="1:14" ht="39.950000000000003" customHeight="1" x14ac:dyDescent="0.25">
      <c r="A275" s="125">
        <f t="shared" si="4"/>
        <v>261</v>
      </c>
      <c r="B275" s="181"/>
      <c r="C275" s="182"/>
      <c r="D275" s="117"/>
      <c r="E275" s="101"/>
      <c r="F275" s="118"/>
      <c r="G275" s="122"/>
      <c r="H275" s="119"/>
      <c r="I275" s="101"/>
      <c r="J275" s="120"/>
      <c r="K275" s="126"/>
      <c r="L275" s="123"/>
      <c r="M275" s="121"/>
      <c r="N275" s="124"/>
    </row>
    <row r="276" spans="1:14" ht="39.950000000000003" customHeight="1" x14ac:dyDescent="0.25">
      <c r="A276" s="125">
        <f t="shared" si="4"/>
        <v>262</v>
      </c>
      <c r="B276" s="182"/>
      <c r="C276" s="183"/>
      <c r="D276" s="99"/>
      <c r="E276" s="90"/>
      <c r="F276" s="105"/>
      <c r="G276" s="89"/>
      <c r="H276" s="101"/>
      <c r="I276" s="90"/>
      <c r="J276" s="102"/>
      <c r="K276" s="127"/>
      <c r="L276" s="91"/>
      <c r="M276" s="103"/>
      <c r="N276" s="92"/>
    </row>
    <row r="277" spans="1:14" ht="39.950000000000003" customHeight="1" x14ac:dyDescent="0.25">
      <c r="A277" s="125">
        <f t="shared" si="4"/>
        <v>263</v>
      </c>
      <c r="B277" s="181"/>
      <c r="C277" s="182"/>
      <c r="D277" s="117"/>
      <c r="E277" s="101"/>
      <c r="F277" s="118"/>
      <c r="G277" s="122"/>
      <c r="H277" s="119"/>
      <c r="I277" s="101"/>
      <c r="J277" s="120"/>
      <c r="K277" s="126"/>
      <c r="L277" s="123"/>
      <c r="M277" s="121"/>
      <c r="N277" s="124"/>
    </row>
    <row r="278" spans="1:14" ht="39.950000000000003" customHeight="1" x14ac:dyDescent="0.25">
      <c r="A278" s="125">
        <f t="shared" si="4"/>
        <v>264</v>
      </c>
      <c r="B278" s="182"/>
      <c r="C278" s="183"/>
      <c r="D278" s="99"/>
      <c r="E278" s="90"/>
      <c r="F278" s="105"/>
      <c r="G278" s="89"/>
      <c r="H278" s="101"/>
      <c r="I278" s="90"/>
      <c r="J278" s="102"/>
      <c r="K278" s="127"/>
      <c r="L278" s="91"/>
      <c r="M278" s="103"/>
      <c r="N278" s="92"/>
    </row>
    <row r="279" spans="1:14" ht="39.950000000000003" customHeight="1" x14ac:dyDescent="0.25">
      <c r="A279" s="125">
        <f t="shared" si="4"/>
        <v>265</v>
      </c>
      <c r="B279" s="181"/>
      <c r="C279" s="182"/>
      <c r="D279" s="117"/>
      <c r="E279" s="101"/>
      <c r="F279" s="118"/>
      <c r="G279" s="122"/>
      <c r="H279" s="119"/>
      <c r="I279" s="101"/>
      <c r="J279" s="120"/>
      <c r="K279" s="126"/>
      <c r="L279" s="123"/>
      <c r="M279" s="121"/>
      <c r="N279" s="124"/>
    </row>
    <row r="280" spans="1:14" ht="39.950000000000003" customHeight="1" x14ac:dyDescent="0.25">
      <c r="A280" s="125">
        <f t="shared" si="4"/>
        <v>266</v>
      </c>
      <c r="B280" s="182"/>
      <c r="C280" s="183"/>
      <c r="D280" s="99"/>
      <c r="E280" s="90"/>
      <c r="F280" s="105"/>
      <c r="G280" s="89"/>
      <c r="H280" s="101"/>
      <c r="I280" s="90"/>
      <c r="J280" s="102"/>
      <c r="K280" s="127"/>
      <c r="L280" s="91"/>
      <c r="M280" s="103"/>
      <c r="N280" s="92"/>
    </row>
    <row r="281" spans="1:14" ht="39.950000000000003" customHeight="1" x14ac:dyDescent="0.25">
      <c r="A281" s="125">
        <f t="shared" si="4"/>
        <v>267</v>
      </c>
      <c r="B281" s="181"/>
      <c r="C281" s="182"/>
      <c r="D281" s="117"/>
      <c r="E281" s="101"/>
      <c r="F281" s="118"/>
      <c r="G281" s="122"/>
      <c r="H281" s="119"/>
      <c r="I281" s="101"/>
      <c r="J281" s="120"/>
      <c r="K281" s="126"/>
      <c r="L281" s="123"/>
      <c r="M281" s="121"/>
      <c r="N281" s="124"/>
    </row>
    <row r="282" spans="1:14" ht="39.950000000000003" customHeight="1" x14ac:dyDescent="0.25">
      <c r="A282" s="125">
        <f t="shared" si="4"/>
        <v>268</v>
      </c>
      <c r="B282" s="182"/>
      <c r="C282" s="183"/>
      <c r="D282" s="99"/>
      <c r="E282" s="90"/>
      <c r="F282" s="105"/>
      <c r="G282" s="89"/>
      <c r="H282" s="101"/>
      <c r="I282" s="90"/>
      <c r="J282" s="102"/>
      <c r="K282" s="127"/>
      <c r="L282" s="91"/>
      <c r="M282" s="103"/>
      <c r="N282" s="92"/>
    </row>
    <row r="283" spans="1:14" ht="39.950000000000003" customHeight="1" x14ac:dyDescent="0.25">
      <c r="A283" s="125">
        <f t="shared" si="4"/>
        <v>269</v>
      </c>
      <c r="B283" s="181"/>
      <c r="C283" s="182"/>
      <c r="D283" s="117"/>
      <c r="E283" s="101"/>
      <c r="F283" s="118"/>
      <c r="G283" s="122"/>
      <c r="H283" s="119"/>
      <c r="I283" s="101"/>
      <c r="J283" s="120"/>
      <c r="K283" s="126"/>
      <c r="L283" s="123"/>
      <c r="M283" s="121"/>
      <c r="N283" s="124"/>
    </row>
    <row r="284" spans="1:14" ht="39.950000000000003" customHeight="1" x14ac:dyDescent="0.25">
      <c r="A284" s="125">
        <f t="shared" si="4"/>
        <v>270</v>
      </c>
      <c r="B284" s="182"/>
      <c r="C284" s="183"/>
      <c r="D284" s="99"/>
      <c r="E284" s="90"/>
      <c r="F284" s="105"/>
      <c r="G284" s="89"/>
      <c r="H284" s="101"/>
      <c r="I284" s="90"/>
      <c r="J284" s="102"/>
      <c r="K284" s="127"/>
      <c r="L284" s="91"/>
      <c r="M284" s="103"/>
      <c r="N284" s="92"/>
    </row>
    <row r="285" spans="1:14" ht="39.950000000000003" customHeight="1" x14ac:dyDescent="0.25">
      <c r="A285" s="125">
        <f t="shared" si="4"/>
        <v>271</v>
      </c>
      <c r="B285" s="181"/>
      <c r="C285" s="182"/>
      <c r="D285" s="117"/>
      <c r="E285" s="101"/>
      <c r="F285" s="118"/>
      <c r="G285" s="122"/>
      <c r="H285" s="119"/>
      <c r="I285" s="101"/>
      <c r="J285" s="120"/>
      <c r="K285" s="126"/>
      <c r="L285" s="123"/>
      <c r="M285" s="121"/>
      <c r="N285" s="124"/>
    </row>
    <row r="286" spans="1:14" ht="39.950000000000003" customHeight="1" x14ac:dyDescent="0.25">
      <c r="A286" s="125">
        <f t="shared" si="4"/>
        <v>272</v>
      </c>
      <c r="B286" s="182"/>
      <c r="C286" s="183"/>
      <c r="D286" s="99"/>
      <c r="E286" s="90"/>
      <c r="F286" s="105"/>
      <c r="G286" s="89"/>
      <c r="H286" s="101"/>
      <c r="I286" s="90"/>
      <c r="J286" s="102"/>
      <c r="K286" s="127"/>
      <c r="L286" s="91"/>
      <c r="M286" s="103"/>
      <c r="N286" s="92"/>
    </row>
    <row r="287" spans="1:14" ht="39.950000000000003" customHeight="1" x14ac:dyDescent="0.25">
      <c r="A287" s="125">
        <f t="shared" si="4"/>
        <v>273</v>
      </c>
      <c r="B287" s="181"/>
      <c r="C287" s="182"/>
      <c r="D287" s="117"/>
      <c r="E287" s="101"/>
      <c r="F287" s="118"/>
      <c r="G287" s="122"/>
      <c r="H287" s="119"/>
      <c r="I287" s="101"/>
      <c r="J287" s="120"/>
      <c r="K287" s="126"/>
      <c r="L287" s="123"/>
      <c r="M287" s="121"/>
      <c r="N287" s="124"/>
    </row>
    <row r="288" spans="1:14" ht="39.950000000000003" customHeight="1" x14ac:dyDescent="0.25">
      <c r="A288" s="125">
        <f t="shared" si="4"/>
        <v>274</v>
      </c>
      <c r="B288" s="182"/>
      <c r="C288" s="183"/>
      <c r="D288" s="99"/>
      <c r="E288" s="90"/>
      <c r="F288" s="105"/>
      <c r="G288" s="89"/>
      <c r="H288" s="101"/>
      <c r="I288" s="90"/>
      <c r="J288" s="102"/>
      <c r="K288" s="127"/>
      <c r="L288" s="91"/>
      <c r="M288" s="103"/>
      <c r="N288" s="92"/>
    </row>
    <row r="289" spans="1:14" ht="39.950000000000003" customHeight="1" x14ac:dyDescent="0.25">
      <c r="A289" s="125">
        <f t="shared" si="4"/>
        <v>275</v>
      </c>
      <c r="B289" s="181"/>
      <c r="C289" s="182"/>
      <c r="D289" s="117"/>
      <c r="E289" s="101"/>
      <c r="F289" s="118"/>
      <c r="G289" s="122"/>
      <c r="H289" s="119"/>
      <c r="I289" s="101"/>
      <c r="J289" s="120"/>
      <c r="K289" s="126"/>
      <c r="L289" s="123"/>
      <c r="M289" s="121"/>
      <c r="N289" s="124"/>
    </row>
    <row r="290" spans="1:14" ht="39.950000000000003" customHeight="1" x14ac:dyDescent="0.25">
      <c r="A290" s="125">
        <f t="shared" si="4"/>
        <v>276</v>
      </c>
      <c r="B290" s="182"/>
      <c r="C290" s="183"/>
      <c r="D290" s="99"/>
      <c r="E290" s="90"/>
      <c r="F290" s="105"/>
      <c r="G290" s="89"/>
      <c r="H290" s="101"/>
      <c r="I290" s="90"/>
      <c r="J290" s="102"/>
      <c r="K290" s="127"/>
      <c r="L290" s="91"/>
      <c r="M290" s="103"/>
      <c r="N290" s="92"/>
    </row>
    <row r="291" spans="1:14" ht="39.950000000000003" customHeight="1" x14ac:dyDescent="0.25">
      <c r="A291" s="125">
        <f t="shared" si="4"/>
        <v>277</v>
      </c>
      <c r="B291" s="181"/>
      <c r="C291" s="182"/>
      <c r="D291" s="117"/>
      <c r="E291" s="101"/>
      <c r="F291" s="118"/>
      <c r="G291" s="122"/>
      <c r="H291" s="119"/>
      <c r="I291" s="101"/>
      <c r="J291" s="120"/>
      <c r="K291" s="126"/>
      <c r="L291" s="123"/>
      <c r="M291" s="121"/>
      <c r="N291" s="124"/>
    </row>
    <row r="292" spans="1:14" ht="39.950000000000003" customHeight="1" x14ac:dyDescent="0.25">
      <c r="A292" s="125">
        <f t="shared" si="4"/>
        <v>278</v>
      </c>
      <c r="B292" s="182"/>
      <c r="C292" s="183"/>
      <c r="D292" s="99"/>
      <c r="E292" s="90"/>
      <c r="F292" s="105"/>
      <c r="G292" s="89"/>
      <c r="H292" s="101"/>
      <c r="I292" s="90"/>
      <c r="J292" s="102"/>
      <c r="K292" s="127"/>
      <c r="L292" s="91"/>
      <c r="M292" s="103"/>
      <c r="N292" s="92"/>
    </row>
    <row r="293" spans="1:14" ht="39.950000000000003" customHeight="1" x14ac:dyDescent="0.25">
      <c r="A293" s="125">
        <f t="shared" si="4"/>
        <v>279</v>
      </c>
      <c r="B293" s="181"/>
      <c r="C293" s="182"/>
      <c r="D293" s="117"/>
      <c r="E293" s="101"/>
      <c r="F293" s="118"/>
      <c r="G293" s="122"/>
      <c r="H293" s="119"/>
      <c r="I293" s="101"/>
      <c r="J293" s="120"/>
      <c r="K293" s="126"/>
      <c r="L293" s="123"/>
      <c r="M293" s="121"/>
      <c r="N293" s="124"/>
    </row>
    <row r="294" spans="1:14" ht="39.950000000000003" customHeight="1" x14ac:dyDescent="0.25">
      <c r="A294" s="125">
        <f t="shared" si="4"/>
        <v>280</v>
      </c>
      <c r="B294" s="182"/>
      <c r="C294" s="183"/>
      <c r="D294" s="99"/>
      <c r="E294" s="90"/>
      <c r="F294" s="105"/>
      <c r="G294" s="89"/>
      <c r="H294" s="101"/>
      <c r="I294" s="90"/>
      <c r="J294" s="102"/>
      <c r="K294" s="127"/>
      <c r="L294" s="91"/>
      <c r="M294" s="103"/>
      <c r="N294" s="92"/>
    </row>
    <row r="295" spans="1:14" ht="39.950000000000003" customHeight="1" x14ac:dyDescent="0.25">
      <c r="A295" s="125">
        <f t="shared" si="4"/>
        <v>281</v>
      </c>
      <c r="B295" s="181"/>
      <c r="C295" s="182"/>
      <c r="D295" s="117"/>
      <c r="E295" s="101"/>
      <c r="F295" s="118"/>
      <c r="G295" s="122"/>
      <c r="H295" s="119"/>
      <c r="I295" s="101"/>
      <c r="J295" s="120"/>
      <c r="K295" s="126"/>
      <c r="L295" s="123"/>
      <c r="M295" s="121"/>
      <c r="N295" s="124"/>
    </row>
    <row r="296" spans="1:14" ht="39.950000000000003" customHeight="1" x14ac:dyDescent="0.25">
      <c r="A296" s="125">
        <f t="shared" si="4"/>
        <v>282</v>
      </c>
      <c r="B296" s="182"/>
      <c r="C296" s="183"/>
      <c r="D296" s="99"/>
      <c r="E296" s="90"/>
      <c r="F296" s="105"/>
      <c r="G296" s="89"/>
      <c r="H296" s="101"/>
      <c r="I296" s="90"/>
      <c r="J296" s="102"/>
      <c r="K296" s="127"/>
      <c r="L296" s="91"/>
      <c r="M296" s="103"/>
      <c r="N296" s="92"/>
    </row>
    <row r="297" spans="1:14" ht="39.950000000000003" customHeight="1" x14ac:dyDescent="0.25">
      <c r="A297" s="125">
        <f t="shared" si="4"/>
        <v>283</v>
      </c>
      <c r="B297" s="181"/>
      <c r="C297" s="182"/>
      <c r="D297" s="117"/>
      <c r="E297" s="101"/>
      <c r="F297" s="118"/>
      <c r="G297" s="122"/>
      <c r="H297" s="119"/>
      <c r="I297" s="101"/>
      <c r="J297" s="120"/>
      <c r="K297" s="126"/>
      <c r="L297" s="123"/>
      <c r="M297" s="121"/>
      <c r="N297" s="124"/>
    </row>
    <row r="298" spans="1:14" ht="39.950000000000003" customHeight="1" x14ac:dyDescent="0.25">
      <c r="A298" s="125">
        <f t="shared" si="4"/>
        <v>284</v>
      </c>
      <c r="B298" s="182"/>
      <c r="C298" s="183"/>
      <c r="D298" s="99"/>
      <c r="E298" s="90"/>
      <c r="F298" s="105"/>
      <c r="G298" s="89"/>
      <c r="H298" s="101"/>
      <c r="I298" s="90"/>
      <c r="J298" s="102"/>
      <c r="K298" s="127"/>
      <c r="L298" s="91"/>
      <c r="M298" s="103"/>
      <c r="N298" s="92"/>
    </row>
    <row r="299" spans="1:14" ht="39.950000000000003" customHeight="1" x14ac:dyDescent="0.25">
      <c r="A299" s="125">
        <f t="shared" si="4"/>
        <v>285</v>
      </c>
      <c r="B299" s="181"/>
      <c r="C299" s="182"/>
      <c r="D299" s="117"/>
      <c r="E299" s="101"/>
      <c r="F299" s="118"/>
      <c r="G299" s="122"/>
      <c r="H299" s="119"/>
      <c r="I299" s="101"/>
      <c r="J299" s="120"/>
      <c r="K299" s="126"/>
      <c r="L299" s="123"/>
      <c r="M299" s="121"/>
      <c r="N299" s="124"/>
    </row>
    <row r="300" spans="1:14" ht="39.950000000000003" customHeight="1" x14ac:dyDescent="0.25">
      <c r="A300" s="125">
        <f t="shared" si="4"/>
        <v>286</v>
      </c>
      <c r="B300" s="182"/>
      <c r="C300" s="183"/>
      <c r="D300" s="99"/>
      <c r="E300" s="90"/>
      <c r="F300" s="105"/>
      <c r="G300" s="89"/>
      <c r="H300" s="101"/>
      <c r="I300" s="90"/>
      <c r="J300" s="102"/>
      <c r="K300" s="127"/>
      <c r="L300" s="91"/>
      <c r="M300" s="103"/>
      <c r="N300" s="92"/>
    </row>
    <row r="301" spans="1:14" ht="39.950000000000003" customHeight="1" x14ac:dyDescent="0.25">
      <c r="A301" s="125">
        <f t="shared" si="4"/>
        <v>287</v>
      </c>
      <c r="B301" s="181"/>
      <c r="C301" s="182"/>
      <c r="D301" s="117"/>
      <c r="E301" s="101"/>
      <c r="F301" s="118"/>
      <c r="G301" s="122"/>
      <c r="H301" s="119"/>
      <c r="I301" s="101"/>
      <c r="J301" s="120"/>
      <c r="K301" s="126"/>
      <c r="L301" s="123"/>
      <c r="M301" s="121"/>
      <c r="N301" s="124"/>
    </row>
    <row r="302" spans="1:14" ht="39.950000000000003" customHeight="1" x14ac:dyDescent="0.25">
      <c r="A302" s="125">
        <f t="shared" si="4"/>
        <v>288</v>
      </c>
      <c r="B302" s="182"/>
      <c r="C302" s="183"/>
      <c r="D302" s="99"/>
      <c r="E302" s="90"/>
      <c r="F302" s="105"/>
      <c r="G302" s="89"/>
      <c r="H302" s="101"/>
      <c r="I302" s="90"/>
      <c r="J302" s="102"/>
      <c r="K302" s="127"/>
      <c r="L302" s="91"/>
      <c r="M302" s="103"/>
      <c r="N302" s="92"/>
    </row>
    <row r="303" spans="1:14" ht="39.950000000000003" customHeight="1" x14ac:dyDescent="0.25">
      <c r="A303" s="125">
        <f t="shared" si="4"/>
        <v>289</v>
      </c>
      <c r="B303" s="181"/>
      <c r="C303" s="182"/>
      <c r="D303" s="117"/>
      <c r="E303" s="101"/>
      <c r="F303" s="118"/>
      <c r="G303" s="122"/>
      <c r="H303" s="119"/>
      <c r="I303" s="101"/>
      <c r="J303" s="120"/>
      <c r="K303" s="126"/>
      <c r="L303" s="123"/>
      <c r="M303" s="121"/>
      <c r="N303" s="124"/>
    </row>
    <row r="304" spans="1:14" ht="39.950000000000003" customHeight="1" x14ac:dyDescent="0.25">
      <c r="A304" s="125">
        <f t="shared" si="4"/>
        <v>290</v>
      </c>
      <c r="B304" s="182"/>
      <c r="C304" s="183"/>
      <c r="D304" s="99"/>
      <c r="E304" s="90"/>
      <c r="F304" s="105"/>
      <c r="G304" s="89"/>
      <c r="H304" s="101"/>
      <c r="I304" s="90"/>
      <c r="J304" s="102"/>
      <c r="K304" s="127"/>
      <c r="L304" s="91"/>
      <c r="M304" s="103"/>
      <c r="N304" s="92"/>
    </row>
    <row r="305" spans="1:14" ht="39.950000000000003" customHeight="1" x14ac:dyDescent="0.25">
      <c r="A305" s="125">
        <f t="shared" si="4"/>
        <v>291</v>
      </c>
      <c r="B305" s="181"/>
      <c r="C305" s="182"/>
      <c r="D305" s="117"/>
      <c r="E305" s="101"/>
      <c r="F305" s="118"/>
      <c r="G305" s="122"/>
      <c r="H305" s="119"/>
      <c r="I305" s="101"/>
      <c r="J305" s="120"/>
      <c r="K305" s="126"/>
      <c r="L305" s="123"/>
      <c r="M305" s="121"/>
      <c r="N305" s="124"/>
    </row>
    <row r="306" spans="1:14" ht="39.950000000000003" customHeight="1" x14ac:dyDescent="0.25">
      <c r="A306" s="125">
        <f t="shared" si="4"/>
        <v>292</v>
      </c>
      <c r="B306" s="182"/>
      <c r="C306" s="183"/>
      <c r="D306" s="99"/>
      <c r="E306" s="90"/>
      <c r="F306" s="105"/>
      <c r="G306" s="89"/>
      <c r="H306" s="101"/>
      <c r="I306" s="90"/>
      <c r="J306" s="102"/>
      <c r="K306" s="127"/>
      <c r="L306" s="91"/>
      <c r="M306" s="103"/>
      <c r="N306" s="92"/>
    </row>
    <row r="307" spans="1:14" ht="39.950000000000003" customHeight="1" x14ac:dyDescent="0.25">
      <c r="A307" s="125">
        <f t="shared" si="4"/>
        <v>293</v>
      </c>
      <c r="B307" s="181"/>
      <c r="C307" s="182"/>
      <c r="D307" s="117"/>
      <c r="E307" s="101"/>
      <c r="F307" s="118"/>
      <c r="G307" s="122"/>
      <c r="H307" s="119"/>
      <c r="I307" s="101"/>
      <c r="J307" s="120"/>
      <c r="K307" s="126"/>
      <c r="L307" s="123"/>
      <c r="M307" s="121"/>
      <c r="N307" s="124"/>
    </row>
    <row r="308" spans="1:14" ht="39.950000000000003" customHeight="1" x14ac:dyDescent="0.25">
      <c r="A308" s="125">
        <f t="shared" si="4"/>
        <v>294</v>
      </c>
      <c r="B308" s="182"/>
      <c r="C308" s="183"/>
      <c r="D308" s="99"/>
      <c r="E308" s="90"/>
      <c r="F308" s="105"/>
      <c r="G308" s="89"/>
      <c r="H308" s="101"/>
      <c r="I308" s="90"/>
      <c r="J308" s="102"/>
      <c r="K308" s="127"/>
      <c r="L308" s="91"/>
      <c r="M308" s="103"/>
      <c r="N308" s="92"/>
    </row>
    <row r="309" spans="1:14" ht="39.950000000000003" customHeight="1" x14ac:dyDescent="0.25">
      <c r="A309" s="125">
        <f t="shared" si="4"/>
        <v>295</v>
      </c>
      <c r="B309" s="181"/>
      <c r="C309" s="182"/>
      <c r="D309" s="117"/>
      <c r="E309" s="101"/>
      <c r="F309" s="118"/>
      <c r="G309" s="122"/>
      <c r="H309" s="119"/>
      <c r="I309" s="101"/>
      <c r="J309" s="120"/>
      <c r="K309" s="126"/>
      <c r="L309" s="123"/>
      <c r="M309" s="121"/>
      <c r="N309" s="124"/>
    </row>
    <row r="310" spans="1:14" ht="39.950000000000003" customHeight="1" x14ac:dyDescent="0.25">
      <c r="A310" s="125">
        <f t="shared" si="4"/>
        <v>296</v>
      </c>
      <c r="B310" s="182"/>
      <c r="C310" s="183"/>
      <c r="D310" s="99"/>
      <c r="E310" s="90"/>
      <c r="F310" s="105"/>
      <c r="G310" s="89"/>
      <c r="H310" s="101"/>
      <c r="I310" s="90"/>
      <c r="J310" s="102"/>
      <c r="K310" s="127"/>
      <c r="L310" s="91"/>
      <c r="M310" s="103"/>
      <c r="N310" s="92"/>
    </row>
    <row r="311" spans="1:14" ht="39.950000000000003" customHeight="1" x14ac:dyDescent="0.25">
      <c r="A311" s="125">
        <f t="shared" si="4"/>
        <v>297</v>
      </c>
      <c r="B311" s="181"/>
      <c r="C311" s="182"/>
      <c r="D311" s="117"/>
      <c r="E311" s="101"/>
      <c r="F311" s="118"/>
      <c r="G311" s="122"/>
      <c r="H311" s="119"/>
      <c r="I311" s="101"/>
      <c r="J311" s="120"/>
      <c r="K311" s="126"/>
      <c r="L311" s="123"/>
      <c r="M311" s="121"/>
      <c r="N311" s="124"/>
    </row>
    <row r="312" spans="1:14" ht="39.950000000000003" customHeight="1" x14ac:dyDescent="0.25">
      <c r="A312" s="125">
        <f t="shared" si="4"/>
        <v>298</v>
      </c>
      <c r="B312" s="182"/>
      <c r="C312" s="183"/>
      <c r="D312" s="99"/>
      <c r="E312" s="90"/>
      <c r="F312" s="105"/>
      <c r="G312" s="89"/>
      <c r="H312" s="101"/>
      <c r="I312" s="90"/>
      <c r="J312" s="102"/>
      <c r="K312" s="127"/>
      <c r="L312" s="91"/>
      <c r="M312" s="103"/>
      <c r="N312" s="92"/>
    </row>
    <row r="313" spans="1:14" ht="39.950000000000003" customHeight="1" x14ac:dyDescent="0.25">
      <c r="A313" s="125">
        <f t="shared" si="4"/>
        <v>299</v>
      </c>
      <c r="B313" s="181"/>
      <c r="C313" s="182"/>
      <c r="D313" s="117"/>
      <c r="E313" s="101"/>
      <c r="F313" s="118"/>
      <c r="G313" s="122"/>
      <c r="H313" s="119"/>
      <c r="I313" s="101"/>
      <c r="J313" s="120"/>
      <c r="K313" s="126"/>
      <c r="L313" s="123"/>
      <c r="M313" s="121"/>
      <c r="N313" s="124"/>
    </row>
    <row r="314" spans="1:14" ht="39.950000000000003" customHeight="1" x14ac:dyDescent="0.25">
      <c r="A314" s="125">
        <f t="shared" si="4"/>
        <v>300</v>
      </c>
      <c r="B314" s="182"/>
      <c r="C314" s="183"/>
      <c r="D314" s="99"/>
      <c r="E314" s="90"/>
      <c r="F314" s="105"/>
      <c r="G314" s="89"/>
      <c r="H314" s="101"/>
      <c r="I314" s="90"/>
      <c r="J314" s="102"/>
      <c r="K314" s="127"/>
      <c r="L314" s="91"/>
      <c r="M314" s="103"/>
      <c r="N314" s="92"/>
    </row>
    <row r="315" spans="1:14" ht="39.950000000000003" customHeight="1" x14ac:dyDescent="0.25">
      <c r="A315" s="125">
        <f t="shared" si="4"/>
        <v>301</v>
      </c>
      <c r="B315" s="181"/>
      <c r="C315" s="182"/>
      <c r="D315" s="117"/>
      <c r="E315" s="101"/>
      <c r="F315" s="118"/>
      <c r="G315" s="122"/>
      <c r="H315" s="119"/>
      <c r="I315" s="101"/>
      <c r="J315" s="120"/>
      <c r="K315" s="126"/>
      <c r="L315" s="123"/>
      <c r="M315" s="121"/>
      <c r="N315" s="124"/>
    </row>
    <row r="316" spans="1:14" ht="39.950000000000003" customHeight="1" x14ac:dyDescent="0.25">
      <c r="A316" s="125">
        <f t="shared" si="4"/>
        <v>302</v>
      </c>
      <c r="B316" s="182"/>
      <c r="C316" s="183"/>
      <c r="D316" s="99"/>
      <c r="E316" s="90"/>
      <c r="F316" s="105"/>
      <c r="G316" s="89"/>
      <c r="H316" s="101"/>
      <c r="I316" s="90"/>
      <c r="J316" s="102"/>
      <c r="K316" s="127"/>
      <c r="L316" s="91"/>
      <c r="M316" s="103"/>
      <c r="N316" s="92"/>
    </row>
    <row r="317" spans="1:14" ht="39.950000000000003" customHeight="1" x14ac:dyDescent="0.25">
      <c r="A317" s="125">
        <f t="shared" si="4"/>
        <v>303</v>
      </c>
      <c r="B317" s="181"/>
      <c r="C317" s="182"/>
      <c r="D317" s="117"/>
      <c r="E317" s="101"/>
      <c r="F317" s="118"/>
      <c r="G317" s="122"/>
      <c r="H317" s="119"/>
      <c r="I317" s="101"/>
      <c r="J317" s="120"/>
      <c r="K317" s="126"/>
      <c r="L317" s="123"/>
      <c r="M317" s="121"/>
      <c r="N317" s="124"/>
    </row>
    <row r="318" spans="1:14" ht="39.950000000000003" customHeight="1" x14ac:dyDescent="0.25">
      <c r="A318" s="125">
        <f t="shared" si="4"/>
        <v>304</v>
      </c>
      <c r="B318" s="182"/>
      <c r="C318" s="183"/>
      <c r="D318" s="99"/>
      <c r="E318" s="90"/>
      <c r="F318" s="105"/>
      <c r="G318" s="89"/>
      <c r="H318" s="101"/>
      <c r="I318" s="90"/>
      <c r="J318" s="102"/>
      <c r="K318" s="127"/>
      <c r="L318" s="91"/>
      <c r="M318" s="103"/>
      <c r="N318" s="92"/>
    </row>
    <row r="319" spans="1:14" ht="39.950000000000003" customHeight="1" x14ac:dyDescent="0.25">
      <c r="A319" s="125">
        <f t="shared" si="4"/>
        <v>305</v>
      </c>
      <c r="B319" s="181"/>
      <c r="C319" s="182"/>
      <c r="D319" s="117"/>
      <c r="E319" s="101"/>
      <c r="F319" s="118"/>
      <c r="G319" s="122"/>
      <c r="H319" s="119"/>
      <c r="I319" s="101"/>
      <c r="J319" s="120"/>
      <c r="K319" s="126"/>
      <c r="L319" s="123"/>
      <c r="M319" s="121"/>
      <c r="N319" s="124"/>
    </row>
    <row r="320" spans="1:14" ht="39.950000000000003" customHeight="1" x14ac:dyDescent="0.25">
      <c r="A320" s="125">
        <f t="shared" si="4"/>
        <v>306</v>
      </c>
      <c r="B320" s="182"/>
      <c r="C320" s="183"/>
      <c r="D320" s="99"/>
      <c r="E320" s="90"/>
      <c r="F320" s="105"/>
      <c r="G320" s="89"/>
      <c r="H320" s="101"/>
      <c r="I320" s="90"/>
      <c r="J320" s="102"/>
      <c r="K320" s="127"/>
      <c r="L320" s="91"/>
      <c r="M320" s="103"/>
      <c r="N320" s="92"/>
    </row>
    <row r="321" spans="1:14" ht="39.950000000000003" customHeight="1" x14ac:dyDescent="0.25">
      <c r="A321" s="125">
        <f t="shared" si="4"/>
        <v>307</v>
      </c>
      <c r="B321" s="181"/>
      <c r="C321" s="182"/>
      <c r="D321" s="117"/>
      <c r="E321" s="101"/>
      <c r="F321" s="118"/>
      <c r="G321" s="122"/>
      <c r="H321" s="119"/>
      <c r="I321" s="101"/>
      <c r="J321" s="120"/>
      <c r="K321" s="126"/>
      <c r="L321" s="123"/>
      <c r="M321" s="121"/>
      <c r="N321" s="124"/>
    </row>
    <row r="322" spans="1:14" ht="39.950000000000003" customHeight="1" x14ac:dyDescent="0.25">
      <c r="A322" s="125">
        <f t="shared" si="4"/>
        <v>308</v>
      </c>
      <c r="B322" s="182"/>
      <c r="C322" s="183"/>
      <c r="D322" s="99"/>
      <c r="E322" s="90"/>
      <c r="F322" s="105"/>
      <c r="G322" s="89"/>
      <c r="H322" s="101"/>
      <c r="I322" s="90"/>
      <c r="J322" s="102"/>
      <c r="K322" s="127"/>
      <c r="L322" s="91"/>
      <c r="M322" s="103"/>
      <c r="N322" s="92"/>
    </row>
    <row r="323" spans="1:14" ht="39.950000000000003" customHeight="1" x14ac:dyDescent="0.25">
      <c r="A323" s="125">
        <f t="shared" si="4"/>
        <v>309</v>
      </c>
      <c r="B323" s="181"/>
      <c r="C323" s="182"/>
      <c r="D323" s="117"/>
      <c r="E323" s="101"/>
      <c r="F323" s="118"/>
      <c r="G323" s="122"/>
      <c r="H323" s="119"/>
      <c r="I323" s="101"/>
      <c r="J323" s="120"/>
      <c r="K323" s="126"/>
      <c r="L323" s="123"/>
      <c r="M323" s="121"/>
      <c r="N323" s="124"/>
    </row>
    <row r="324" spans="1:14" ht="39.950000000000003" customHeight="1" x14ac:dyDescent="0.25">
      <c r="A324" s="125">
        <f t="shared" si="4"/>
        <v>310</v>
      </c>
      <c r="B324" s="182"/>
      <c r="C324" s="183"/>
      <c r="D324" s="99"/>
      <c r="E324" s="90"/>
      <c r="F324" s="105"/>
      <c r="G324" s="89"/>
      <c r="H324" s="101"/>
      <c r="I324" s="90"/>
      <c r="J324" s="102"/>
      <c r="K324" s="127"/>
      <c r="L324" s="91"/>
      <c r="M324" s="103"/>
      <c r="N324" s="92"/>
    </row>
    <row r="325" spans="1:14" ht="39.950000000000003" customHeight="1" x14ac:dyDescent="0.25">
      <c r="A325" s="125">
        <f t="shared" si="4"/>
        <v>311</v>
      </c>
      <c r="B325" s="181"/>
      <c r="C325" s="182"/>
      <c r="D325" s="117"/>
      <c r="E325" s="101"/>
      <c r="F325" s="118"/>
      <c r="G325" s="122"/>
      <c r="H325" s="119"/>
      <c r="I325" s="101"/>
      <c r="J325" s="120"/>
      <c r="K325" s="126"/>
      <c r="L325" s="123"/>
      <c r="M325" s="121"/>
      <c r="N325" s="124"/>
    </row>
    <row r="326" spans="1:14" ht="39.950000000000003" customHeight="1" x14ac:dyDescent="0.25">
      <c r="A326" s="125">
        <f t="shared" si="4"/>
        <v>312</v>
      </c>
      <c r="B326" s="182"/>
      <c r="C326" s="183"/>
      <c r="D326" s="99"/>
      <c r="E326" s="90"/>
      <c r="F326" s="105"/>
      <c r="G326" s="89"/>
      <c r="H326" s="101"/>
      <c r="I326" s="90"/>
      <c r="J326" s="102"/>
      <c r="K326" s="127"/>
      <c r="L326" s="91"/>
      <c r="M326" s="103"/>
      <c r="N326" s="92"/>
    </row>
    <row r="327" spans="1:14" ht="39.950000000000003" customHeight="1" x14ac:dyDescent="0.25">
      <c r="A327" s="125">
        <f t="shared" si="4"/>
        <v>313</v>
      </c>
      <c r="B327" s="181"/>
      <c r="C327" s="182"/>
      <c r="D327" s="117"/>
      <c r="E327" s="101"/>
      <c r="F327" s="118"/>
      <c r="G327" s="122"/>
      <c r="H327" s="119"/>
      <c r="I327" s="101"/>
      <c r="J327" s="120"/>
      <c r="K327" s="126"/>
      <c r="L327" s="123"/>
      <c r="M327" s="121"/>
      <c r="N327" s="124"/>
    </row>
    <row r="328" spans="1:14" ht="39.950000000000003" customHeight="1" x14ac:dyDescent="0.25">
      <c r="A328" s="125">
        <f t="shared" si="4"/>
        <v>314</v>
      </c>
      <c r="B328" s="182"/>
      <c r="C328" s="183"/>
      <c r="D328" s="99"/>
      <c r="E328" s="90"/>
      <c r="F328" s="105"/>
      <c r="G328" s="89"/>
      <c r="H328" s="101"/>
      <c r="I328" s="90"/>
      <c r="J328" s="102"/>
      <c r="K328" s="127"/>
      <c r="L328" s="91"/>
      <c r="M328" s="103"/>
      <c r="N328" s="92"/>
    </row>
    <row r="329" spans="1:14" ht="39.950000000000003" customHeight="1" x14ac:dyDescent="0.25">
      <c r="A329" s="125">
        <f t="shared" si="4"/>
        <v>315</v>
      </c>
      <c r="B329" s="181"/>
      <c r="C329" s="182"/>
      <c r="D329" s="117"/>
      <c r="E329" s="101"/>
      <c r="F329" s="118"/>
      <c r="G329" s="122"/>
      <c r="H329" s="119"/>
      <c r="I329" s="101"/>
      <c r="J329" s="120"/>
      <c r="K329" s="126"/>
      <c r="L329" s="123"/>
      <c r="M329" s="121"/>
      <c r="N329" s="124"/>
    </row>
    <row r="330" spans="1:14" ht="39.950000000000003" customHeight="1" x14ac:dyDescent="0.25">
      <c r="A330" s="125">
        <f t="shared" si="4"/>
        <v>316</v>
      </c>
      <c r="B330" s="182"/>
      <c r="C330" s="183"/>
      <c r="D330" s="99"/>
      <c r="E330" s="90"/>
      <c r="F330" s="105"/>
      <c r="G330" s="89"/>
      <c r="H330" s="101"/>
      <c r="I330" s="90"/>
      <c r="J330" s="102"/>
      <c r="K330" s="127"/>
      <c r="L330" s="91"/>
      <c r="M330" s="103"/>
      <c r="N330" s="92"/>
    </row>
    <row r="331" spans="1:14" ht="39.950000000000003" customHeight="1" x14ac:dyDescent="0.25">
      <c r="A331" s="125">
        <f t="shared" si="4"/>
        <v>317</v>
      </c>
      <c r="B331" s="181"/>
      <c r="C331" s="182"/>
      <c r="D331" s="117"/>
      <c r="E331" s="101"/>
      <c r="F331" s="118"/>
      <c r="G331" s="122"/>
      <c r="H331" s="119"/>
      <c r="I331" s="101"/>
      <c r="J331" s="120"/>
      <c r="K331" s="126"/>
      <c r="L331" s="123"/>
      <c r="M331" s="121"/>
      <c r="N331" s="124"/>
    </row>
    <row r="332" spans="1:14" ht="39.950000000000003" customHeight="1" x14ac:dyDescent="0.25">
      <c r="A332" s="125">
        <f t="shared" si="4"/>
        <v>318</v>
      </c>
      <c r="B332" s="182"/>
      <c r="C332" s="183"/>
      <c r="D332" s="99"/>
      <c r="E332" s="90"/>
      <c r="F332" s="105"/>
      <c r="G332" s="89"/>
      <c r="H332" s="101"/>
      <c r="I332" s="90"/>
      <c r="J332" s="102"/>
      <c r="K332" s="127"/>
      <c r="L332" s="91"/>
      <c r="M332" s="103"/>
      <c r="N332" s="92"/>
    </row>
    <row r="333" spans="1:14" ht="39.950000000000003" customHeight="1" x14ac:dyDescent="0.25">
      <c r="A333" s="125">
        <f t="shared" si="4"/>
        <v>319</v>
      </c>
      <c r="B333" s="181"/>
      <c r="C333" s="182"/>
      <c r="D333" s="117"/>
      <c r="E333" s="101"/>
      <c r="F333" s="118"/>
      <c r="G333" s="122"/>
      <c r="H333" s="119"/>
      <c r="I333" s="101"/>
      <c r="J333" s="120"/>
      <c r="K333" s="126"/>
      <c r="L333" s="123"/>
      <c r="M333" s="121"/>
      <c r="N333" s="124"/>
    </row>
    <row r="334" spans="1:14" ht="39.950000000000003" customHeight="1" x14ac:dyDescent="0.25">
      <c r="A334" s="125">
        <f t="shared" si="4"/>
        <v>320</v>
      </c>
      <c r="B334" s="182"/>
      <c r="C334" s="183"/>
      <c r="D334" s="99"/>
      <c r="E334" s="90"/>
      <c r="F334" s="105"/>
      <c r="G334" s="89"/>
      <c r="H334" s="101"/>
      <c r="I334" s="90"/>
      <c r="J334" s="102"/>
      <c r="K334" s="127"/>
      <c r="L334" s="91"/>
      <c r="M334" s="103"/>
      <c r="N334" s="92"/>
    </row>
    <row r="335" spans="1:14" ht="39.950000000000003" customHeight="1" x14ac:dyDescent="0.25">
      <c r="A335" s="125">
        <f t="shared" si="4"/>
        <v>321</v>
      </c>
      <c r="B335" s="181"/>
      <c r="C335" s="182"/>
      <c r="D335" s="117"/>
      <c r="E335" s="101"/>
      <c r="F335" s="118"/>
      <c r="G335" s="122"/>
      <c r="H335" s="119"/>
      <c r="I335" s="101"/>
      <c r="J335" s="120"/>
      <c r="K335" s="126"/>
      <c r="L335" s="123"/>
      <c r="M335" s="121"/>
      <c r="N335" s="124"/>
    </row>
    <row r="336" spans="1:14" ht="39.950000000000003" customHeight="1" x14ac:dyDescent="0.25">
      <c r="A336" s="125">
        <f t="shared" ref="A336:A399" si="5">ROW(A322)</f>
        <v>322</v>
      </c>
      <c r="B336" s="182"/>
      <c r="C336" s="183"/>
      <c r="D336" s="99"/>
      <c r="E336" s="90"/>
      <c r="F336" s="105"/>
      <c r="G336" s="89"/>
      <c r="H336" s="101"/>
      <c r="I336" s="90"/>
      <c r="J336" s="102"/>
      <c r="K336" s="127"/>
      <c r="L336" s="91"/>
      <c r="M336" s="103"/>
      <c r="N336" s="92"/>
    </row>
    <row r="337" spans="1:14" ht="39.950000000000003" customHeight="1" x14ac:dyDescent="0.25">
      <c r="A337" s="125">
        <f t="shared" si="5"/>
        <v>323</v>
      </c>
      <c r="B337" s="181"/>
      <c r="C337" s="182"/>
      <c r="D337" s="117"/>
      <c r="E337" s="101"/>
      <c r="F337" s="118"/>
      <c r="G337" s="122"/>
      <c r="H337" s="119"/>
      <c r="I337" s="101"/>
      <c r="J337" s="120"/>
      <c r="K337" s="126"/>
      <c r="L337" s="123"/>
      <c r="M337" s="121"/>
      <c r="N337" s="124"/>
    </row>
    <row r="338" spans="1:14" ht="39.950000000000003" customHeight="1" x14ac:dyDescent="0.25">
      <c r="A338" s="125">
        <f t="shared" si="5"/>
        <v>324</v>
      </c>
      <c r="B338" s="182"/>
      <c r="C338" s="183"/>
      <c r="D338" s="99"/>
      <c r="E338" s="90"/>
      <c r="F338" s="105"/>
      <c r="G338" s="89"/>
      <c r="H338" s="101"/>
      <c r="I338" s="90"/>
      <c r="J338" s="102"/>
      <c r="K338" s="127"/>
      <c r="L338" s="91"/>
      <c r="M338" s="103"/>
      <c r="N338" s="92"/>
    </row>
    <row r="339" spans="1:14" ht="39.950000000000003" customHeight="1" x14ac:dyDescent="0.25">
      <c r="A339" s="125">
        <f t="shared" si="5"/>
        <v>325</v>
      </c>
      <c r="B339" s="181"/>
      <c r="C339" s="182"/>
      <c r="D339" s="117"/>
      <c r="E339" s="101"/>
      <c r="F339" s="118"/>
      <c r="G339" s="122"/>
      <c r="H339" s="119"/>
      <c r="I339" s="101"/>
      <c r="J339" s="120"/>
      <c r="K339" s="126"/>
      <c r="L339" s="123"/>
      <c r="M339" s="121"/>
      <c r="N339" s="124"/>
    </row>
    <row r="340" spans="1:14" ht="39.950000000000003" customHeight="1" x14ac:dyDescent="0.25">
      <c r="A340" s="125">
        <f t="shared" si="5"/>
        <v>326</v>
      </c>
      <c r="B340" s="182"/>
      <c r="C340" s="183"/>
      <c r="D340" s="99"/>
      <c r="E340" s="90"/>
      <c r="F340" s="105"/>
      <c r="G340" s="89"/>
      <c r="H340" s="101"/>
      <c r="I340" s="90"/>
      <c r="J340" s="102"/>
      <c r="K340" s="127"/>
      <c r="L340" s="91"/>
      <c r="M340" s="103"/>
      <c r="N340" s="92"/>
    </row>
    <row r="341" spans="1:14" ht="39.950000000000003" customHeight="1" x14ac:dyDescent="0.25">
      <c r="A341" s="125">
        <f t="shared" si="5"/>
        <v>327</v>
      </c>
      <c r="B341" s="181"/>
      <c r="C341" s="182"/>
      <c r="D341" s="117"/>
      <c r="E341" s="101"/>
      <c r="F341" s="118"/>
      <c r="G341" s="122"/>
      <c r="H341" s="119"/>
      <c r="I341" s="101"/>
      <c r="J341" s="120"/>
      <c r="K341" s="126"/>
      <c r="L341" s="123"/>
      <c r="M341" s="121"/>
      <c r="N341" s="124"/>
    </row>
    <row r="342" spans="1:14" ht="39.950000000000003" customHeight="1" x14ac:dyDescent="0.25">
      <c r="A342" s="125">
        <f t="shared" si="5"/>
        <v>328</v>
      </c>
      <c r="B342" s="182"/>
      <c r="C342" s="183"/>
      <c r="D342" s="99"/>
      <c r="E342" s="90"/>
      <c r="F342" s="105"/>
      <c r="G342" s="89"/>
      <c r="H342" s="101"/>
      <c r="I342" s="90"/>
      <c r="J342" s="102"/>
      <c r="K342" s="127"/>
      <c r="L342" s="91"/>
      <c r="M342" s="103"/>
      <c r="N342" s="92"/>
    </row>
    <row r="343" spans="1:14" ht="39.950000000000003" customHeight="1" x14ac:dyDescent="0.25">
      <c r="A343" s="125">
        <f t="shared" si="5"/>
        <v>329</v>
      </c>
      <c r="B343" s="181"/>
      <c r="C343" s="182"/>
      <c r="D343" s="117"/>
      <c r="E343" s="101"/>
      <c r="F343" s="118"/>
      <c r="G343" s="122"/>
      <c r="H343" s="119"/>
      <c r="I343" s="101"/>
      <c r="J343" s="120"/>
      <c r="K343" s="126"/>
      <c r="L343" s="123"/>
      <c r="M343" s="121"/>
      <c r="N343" s="124"/>
    </row>
    <row r="344" spans="1:14" ht="39.950000000000003" customHeight="1" x14ac:dyDescent="0.25">
      <c r="A344" s="125">
        <f t="shared" si="5"/>
        <v>330</v>
      </c>
      <c r="B344" s="182"/>
      <c r="C344" s="183"/>
      <c r="D344" s="99"/>
      <c r="E344" s="90"/>
      <c r="F344" s="105"/>
      <c r="G344" s="89"/>
      <c r="H344" s="101"/>
      <c r="I344" s="90"/>
      <c r="J344" s="102"/>
      <c r="K344" s="127"/>
      <c r="L344" s="91"/>
      <c r="M344" s="103"/>
      <c r="N344" s="92"/>
    </row>
    <row r="345" spans="1:14" ht="39.950000000000003" customHeight="1" x14ac:dyDescent="0.25">
      <c r="A345" s="125">
        <f t="shared" si="5"/>
        <v>331</v>
      </c>
      <c r="B345" s="181"/>
      <c r="C345" s="182"/>
      <c r="D345" s="117"/>
      <c r="E345" s="101"/>
      <c r="F345" s="118"/>
      <c r="G345" s="122"/>
      <c r="H345" s="119"/>
      <c r="I345" s="101"/>
      <c r="J345" s="120"/>
      <c r="K345" s="126"/>
      <c r="L345" s="123"/>
      <c r="M345" s="121"/>
      <c r="N345" s="124"/>
    </row>
    <row r="346" spans="1:14" ht="39.950000000000003" customHeight="1" x14ac:dyDescent="0.25">
      <c r="A346" s="125">
        <f t="shared" si="5"/>
        <v>332</v>
      </c>
      <c r="B346" s="182"/>
      <c r="C346" s="183"/>
      <c r="D346" s="99"/>
      <c r="E346" s="90"/>
      <c r="F346" s="105"/>
      <c r="G346" s="89"/>
      <c r="H346" s="101"/>
      <c r="I346" s="90"/>
      <c r="J346" s="102"/>
      <c r="K346" s="127"/>
      <c r="L346" s="91"/>
      <c r="M346" s="103"/>
      <c r="N346" s="92"/>
    </row>
    <row r="347" spans="1:14" ht="39.950000000000003" customHeight="1" x14ac:dyDescent="0.25">
      <c r="A347" s="125">
        <f t="shared" si="5"/>
        <v>333</v>
      </c>
      <c r="B347" s="181"/>
      <c r="C347" s="182"/>
      <c r="D347" s="117"/>
      <c r="E347" s="101"/>
      <c r="F347" s="118"/>
      <c r="G347" s="122"/>
      <c r="H347" s="119"/>
      <c r="I347" s="101"/>
      <c r="J347" s="120"/>
      <c r="K347" s="126"/>
      <c r="L347" s="123"/>
      <c r="M347" s="121"/>
      <c r="N347" s="124"/>
    </row>
    <row r="348" spans="1:14" ht="39.950000000000003" customHeight="1" x14ac:dyDescent="0.25">
      <c r="A348" s="125">
        <f t="shared" si="5"/>
        <v>334</v>
      </c>
      <c r="B348" s="182"/>
      <c r="C348" s="183"/>
      <c r="D348" s="99"/>
      <c r="E348" s="90"/>
      <c r="F348" s="105"/>
      <c r="G348" s="89"/>
      <c r="H348" s="101"/>
      <c r="I348" s="90"/>
      <c r="J348" s="102"/>
      <c r="K348" s="127"/>
      <c r="L348" s="91"/>
      <c r="M348" s="103"/>
      <c r="N348" s="92"/>
    </row>
    <row r="349" spans="1:14" ht="39.950000000000003" customHeight="1" x14ac:dyDescent="0.25">
      <c r="A349" s="125">
        <f t="shared" si="5"/>
        <v>335</v>
      </c>
      <c r="B349" s="181"/>
      <c r="C349" s="182"/>
      <c r="D349" s="117"/>
      <c r="E349" s="101"/>
      <c r="F349" s="118"/>
      <c r="G349" s="122"/>
      <c r="H349" s="119"/>
      <c r="I349" s="101"/>
      <c r="J349" s="120"/>
      <c r="K349" s="126"/>
      <c r="L349" s="123"/>
      <c r="M349" s="121"/>
      <c r="N349" s="124"/>
    </row>
    <row r="350" spans="1:14" ht="39.950000000000003" customHeight="1" x14ac:dyDescent="0.25">
      <c r="A350" s="125">
        <f t="shared" si="5"/>
        <v>336</v>
      </c>
      <c r="B350" s="182"/>
      <c r="C350" s="183"/>
      <c r="D350" s="99"/>
      <c r="E350" s="90"/>
      <c r="F350" s="105"/>
      <c r="G350" s="89"/>
      <c r="H350" s="101"/>
      <c r="I350" s="90"/>
      <c r="J350" s="102"/>
      <c r="K350" s="127"/>
      <c r="L350" s="91"/>
      <c r="M350" s="103"/>
      <c r="N350" s="92"/>
    </row>
    <row r="351" spans="1:14" ht="39.950000000000003" customHeight="1" x14ac:dyDescent="0.25">
      <c r="A351" s="125">
        <f t="shared" si="5"/>
        <v>337</v>
      </c>
      <c r="B351" s="181"/>
      <c r="C351" s="182"/>
      <c r="D351" s="117"/>
      <c r="E351" s="101"/>
      <c r="F351" s="118"/>
      <c r="G351" s="122"/>
      <c r="H351" s="119"/>
      <c r="I351" s="101"/>
      <c r="J351" s="120"/>
      <c r="K351" s="126"/>
      <c r="L351" s="123"/>
      <c r="M351" s="121"/>
      <c r="N351" s="124"/>
    </row>
    <row r="352" spans="1:14" ht="39.950000000000003" customHeight="1" x14ac:dyDescent="0.25">
      <c r="A352" s="125">
        <f t="shared" si="5"/>
        <v>338</v>
      </c>
      <c r="B352" s="182"/>
      <c r="C352" s="183"/>
      <c r="D352" s="99"/>
      <c r="E352" s="90"/>
      <c r="F352" s="105"/>
      <c r="G352" s="89"/>
      <c r="H352" s="101"/>
      <c r="I352" s="90"/>
      <c r="J352" s="102"/>
      <c r="K352" s="127"/>
      <c r="L352" s="91"/>
      <c r="M352" s="103"/>
      <c r="N352" s="92"/>
    </row>
    <row r="353" spans="1:14" ht="39.950000000000003" customHeight="1" x14ac:dyDescent="0.25">
      <c r="A353" s="125">
        <f t="shared" si="5"/>
        <v>339</v>
      </c>
      <c r="B353" s="181"/>
      <c r="C353" s="182"/>
      <c r="D353" s="117"/>
      <c r="E353" s="101"/>
      <c r="F353" s="118"/>
      <c r="G353" s="122"/>
      <c r="H353" s="119"/>
      <c r="I353" s="101"/>
      <c r="J353" s="120"/>
      <c r="K353" s="126"/>
      <c r="L353" s="123"/>
      <c r="M353" s="121"/>
      <c r="N353" s="124"/>
    </row>
    <row r="354" spans="1:14" ht="39.950000000000003" customHeight="1" x14ac:dyDescent="0.25">
      <c r="A354" s="125">
        <f t="shared" si="5"/>
        <v>340</v>
      </c>
      <c r="B354" s="182"/>
      <c r="C354" s="183"/>
      <c r="D354" s="99"/>
      <c r="E354" s="90"/>
      <c r="F354" s="105"/>
      <c r="G354" s="89"/>
      <c r="H354" s="101"/>
      <c r="I354" s="90"/>
      <c r="J354" s="102"/>
      <c r="K354" s="127"/>
      <c r="L354" s="91"/>
      <c r="M354" s="103"/>
      <c r="N354" s="92"/>
    </row>
    <row r="355" spans="1:14" ht="39.950000000000003" customHeight="1" x14ac:dyDescent="0.25">
      <c r="A355" s="125">
        <f t="shared" si="5"/>
        <v>341</v>
      </c>
      <c r="B355" s="181"/>
      <c r="C355" s="182"/>
      <c r="D355" s="117"/>
      <c r="E355" s="101"/>
      <c r="F355" s="118"/>
      <c r="G355" s="122"/>
      <c r="H355" s="119"/>
      <c r="I355" s="101"/>
      <c r="J355" s="120"/>
      <c r="K355" s="126"/>
      <c r="L355" s="123"/>
      <c r="M355" s="121"/>
      <c r="N355" s="124"/>
    </row>
    <row r="356" spans="1:14" ht="39.950000000000003" customHeight="1" x14ac:dyDescent="0.25">
      <c r="A356" s="125">
        <f t="shared" si="5"/>
        <v>342</v>
      </c>
      <c r="B356" s="182"/>
      <c r="C356" s="183"/>
      <c r="D356" s="99"/>
      <c r="E356" s="90"/>
      <c r="F356" s="105"/>
      <c r="G356" s="89"/>
      <c r="H356" s="101"/>
      <c r="I356" s="90"/>
      <c r="J356" s="102"/>
      <c r="K356" s="127"/>
      <c r="L356" s="91"/>
      <c r="M356" s="103"/>
      <c r="N356" s="92"/>
    </row>
    <row r="357" spans="1:14" ht="39.950000000000003" customHeight="1" x14ac:dyDescent="0.25">
      <c r="A357" s="125">
        <f t="shared" si="5"/>
        <v>343</v>
      </c>
      <c r="B357" s="181"/>
      <c r="C357" s="182"/>
      <c r="D357" s="117"/>
      <c r="E357" s="101"/>
      <c r="F357" s="118"/>
      <c r="G357" s="122"/>
      <c r="H357" s="119"/>
      <c r="I357" s="101"/>
      <c r="J357" s="120"/>
      <c r="K357" s="126"/>
      <c r="L357" s="123"/>
      <c r="M357" s="121"/>
      <c r="N357" s="124"/>
    </row>
    <row r="358" spans="1:14" ht="39.950000000000003" customHeight="1" x14ac:dyDescent="0.25">
      <c r="A358" s="125">
        <f t="shared" si="5"/>
        <v>344</v>
      </c>
      <c r="B358" s="182"/>
      <c r="C358" s="183"/>
      <c r="D358" s="99"/>
      <c r="E358" s="90"/>
      <c r="F358" s="105"/>
      <c r="G358" s="89"/>
      <c r="H358" s="101"/>
      <c r="I358" s="90"/>
      <c r="J358" s="102"/>
      <c r="K358" s="127"/>
      <c r="L358" s="91"/>
      <c r="M358" s="103"/>
      <c r="N358" s="92"/>
    </row>
    <row r="359" spans="1:14" ht="39.950000000000003" customHeight="1" x14ac:dyDescent="0.25">
      <c r="A359" s="125">
        <f t="shared" si="5"/>
        <v>345</v>
      </c>
      <c r="B359" s="181"/>
      <c r="C359" s="182"/>
      <c r="D359" s="117"/>
      <c r="E359" s="101"/>
      <c r="F359" s="118"/>
      <c r="G359" s="122"/>
      <c r="H359" s="119"/>
      <c r="I359" s="101"/>
      <c r="J359" s="120"/>
      <c r="K359" s="126"/>
      <c r="L359" s="123"/>
      <c r="M359" s="121"/>
      <c r="N359" s="124"/>
    </row>
    <row r="360" spans="1:14" ht="39.950000000000003" customHeight="1" x14ac:dyDescent="0.25">
      <c r="A360" s="125">
        <f t="shared" si="5"/>
        <v>346</v>
      </c>
      <c r="B360" s="182"/>
      <c r="C360" s="183"/>
      <c r="D360" s="99"/>
      <c r="E360" s="90"/>
      <c r="F360" s="105"/>
      <c r="G360" s="89"/>
      <c r="H360" s="101"/>
      <c r="I360" s="90"/>
      <c r="J360" s="102"/>
      <c r="K360" s="127"/>
      <c r="L360" s="91"/>
      <c r="M360" s="103"/>
      <c r="N360" s="92"/>
    </row>
    <row r="361" spans="1:14" ht="39.950000000000003" customHeight="1" x14ac:dyDescent="0.25">
      <c r="A361" s="125">
        <f t="shared" si="5"/>
        <v>347</v>
      </c>
      <c r="B361" s="181"/>
      <c r="C361" s="182"/>
      <c r="D361" s="117"/>
      <c r="E361" s="101"/>
      <c r="F361" s="118"/>
      <c r="G361" s="122"/>
      <c r="H361" s="119"/>
      <c r="I361" s="101"/>
      <c r="J361" s="120"/>
      <c r="K361" s="126"/>
      <c r="L361" s="123"/>
      <c r="M361" s="121"/>
      <c r="N361" s="124"/>
    </row>
    <row r="362" spans="1:14" ht="39.950000000000003" customHeight="1" x14ac:dyDescent="0.25">
      <c r="A362" s="125">
        <f t="shared" si="5"/>
        <v>348</v>
      </c>
      <c r="B362" s="182"/>
      <c r="C362" s="183"/>
      <c r="D362" s="99"/>
      <c r="E362" s="90"/>
      <c r="F362" s="105"/>
      <c r="G362" s="89"/>
      <c r="H362" s="101"/>
      <c r="I362" s="90"/>
      <c r="J362" s="102"/>
      <c r="K362" s="127"/>
      <c r="L362" s="91"/>
      <c r="M362" s="103"/>
      <c r="N362" s="92"/>
    </row>
    <row r="363" spans="1:14" ht="39.950000000000003" customHeight="1" x14ac:dyDescent="0.25">
      <c r="A363" s="125">
        <f t="shared" si="5"/>
        <v>349</v>
      </c>
      <c r="B363" s="181"/>
      <c r="C363" s="182"/>
      <c r="D363" s="117"/>
      <c r="E363" s="101"/>
      <c r="F363" s="118"/>
      <c r="G363" s="122"/>
      <c r="H363" s="119"/>
      <c r="I363" s="101"/>
      <c r="J363" s="120"/>
      <c r="K363" s="126"/>
      <c r="L363" s="123"/>
      <c r="M363" s="121"/>
      <c r="N363" s="124"/>
    </row>
    <row r="364" spans="1:14" ht="39.950000000000003" customHeight="1" x14ac:dyDescent="0.25">
      <c r="A364" s="125">
        <f t="shared" si="5"/>
        <v>350</v>
      </c>
      <c r="B364" s="182"/>
      <c r="C364" s="183"/>
      <c r="D364" s="99"/>
      <c r="E364" s="90"/>
      <c r="F364" s="105"/>
      <c r="G364" s="89"/>
      <c r="H364" s="101"/>
      <c r="I364" s="90"/>
      <c r="J364" s="102"/>
      <c r="K364" s="127"/>
      <c r="L364" s="91"/>
      <c r="M364" s="103"/>
      <c r="N364" s="92"/>
    </row>
    <row r="365" spans="1:14" ht="39.950000000000003" customHeight="1" x14ac:dyDescent="0.25">
      <c r="A365" s="125">
        <f t="shared" si="5"/>
        <v>351</v>
      </c>
      <c r="B365" s="181"/>
      <c r="C365" s="182"/>
      <c r="D365" s="117"/>
      <c r="E365" s="101"/>
      <c r="F365" s="118"/>
      <c r="G365" s="122"/>
      <c r="H365" s="119"/>
      <c r="I365" s="101"/>
      <c r="J365" s="120"/>
      <c r="K365" s="126"/>
      <c r="L365" s="123"/>
      <c r="M365" s="121"/>
      <c r="N365" s="124"/>
    </row>
    <row r="366" spans="1:14" ht="39.950000000000003" customHeight="1" x14ac:dyDescent="0.25">
      <c r="A366" s="125">
        <f t="shared" si="5"/>
        <v>352</v>
      </c>
      <c r="B366" s="182"/>
      <c r="C366" s="183"/>
      <c r="D366" s="99"/>
      <c r="E366" s="90"/>
      <c r="F366" s="105"/>
      <c r="G366" s="89"/>
      <c r="H366" s="101"/>
      <c r="I366" s="90"/>
      <c r="J366" s="102"/>
      <c r="K366" s="127"/>
      <c r="L366" s="91"/>
      <c r="M366" s="103"/>
      <c r="N366" s="92"/>
    </row>
    <row r="367" spans="1:14" ht="39.950000000000003" customHeight="1" x14ac:dyDescent="0.25">
      <c r="A367" s="125">
        <f t="shared" si="5"/>
        <v>353</v>
      </c>
      <c r="B367" s="181"/>
      <c r="C367" s="182"/>
      <c r="D367" s="117"/>
      <c r="E367" s="101"/>
      <c r="F367" s="118"/>
      <c r="G367" s="122"/>
      <c r="H367" s="119"/>
      <c r="I367" s="101"/>
      <c r="J367" s="120"/>
      <c r="K367" s="126"/>
      <c r="L367" s="123"/>
      <c r="M367" s="121"/>
      <c r="N367" s="124"/>
    </row>
    <row r="368" spans="1:14" ht="39.950000000000003" customHeight="1" x14ac:dyDescent="0.25">
      <c r="A368" s="125">
        <f t="shared" si="5"/>
        <v>354</v>
      </c>
      <c r="B368" s="182"/>
      <c r="C368" s="183"/>
      <c r="D368" s="99"/>
      <c r="E368" s="90"/>
      <c r="F368" s="105"/>
      <c r="G368" s="89"/>
      <c r="H368" s="101"/>
      <c r="I368" s="90"/>
      <c r="J368" s="102"/>
      <c r="K368" s="127"/>
      <c r="L368" s="91"/>
      <c r="M368" s="103"/>
      <c r="N368" s="92"/>
    </row>
    <row r="369" spans="1:14" ht="39.950000000000003" customHeight="1" x14ac:dyDescent="0.25">
      <c r="A369" s="125">
        <f t="shared" si="5"/>
        <v>355</v>
      </c>
      <c r="B369" s="181"/>
      <c r="C369" s="182"/>
      <c r="D369" s="117"/>
      <c r="E369" s="101"/>
      <c r="F369" s="118"/>
      <c r="G369" s="122"/>
      <c r="H369" s="119"/>
      <c r="I369" s="101"/>
      <c r="J369" s="120"/>
      <c r="K369" s="126"/>
      <c r="L369" s="123"/>
      <c r="M369" s="121"/>
      <c r="N369" s="124"/>
    </row>
    <row r="370" spans="1:14" ht="39.950000000000003" customHeight="1" x14ac:dyDescent="0.25">
      <c r="A370" s="125">
        <f t="shared" si="5"/>
        <v>356</v>
      </c>
      <c r="B370" s="182"/>
      <c r="C370" s="183"/>
      <c r="D370" s="99"/>
      <c r="E370" s="90"/>
      <c r="F370" s="105"/>
      <c r="G370" s="89"/>
      <c r="H370" s="101"/>
      <c r="I370" s="90"/>
      <c r="J370" s="102"/>
      <c r="K370" s="127"/>
      <c r="L370" s="91"/>
      <c r="M370" s="103"/>
      <c r="N370" s="92"/>
    </row>
    <row r="371" spans="1:14" ht="39.950000000000003" customHeight="1" x14ac:dyDescent="0.25">
      <c r="A371" s="125">
        <f t="shared" si="5"/>
        <v>357</v>
      </c>
      <c r="B371" s="181"/>
      <c r="C371" s="182"/>
      <c r="D371" s="117"/>
      <c r="E371" s="101"/>
      <c r="F371" s="118"/>
      <c r="G371" s="122"/>
      <c r="H371" s="119"/>
      <c r="I371" s="101"/>
      <c r="J371" s="120"/>
      <c r="K371" s="126"/>
      <c r="L371" s="123"/>
      <c r="M371" s="121"/>
      <c r="N371" s="124"/>
    </row>
    <row r="372" spans="1:14" ht="39.950000000000003" customHeight="1" x14ac:dyDescent="0.25">
      <c r="A372" s="125">
        <f t="shared" si="5"/>
        <v>358</v>
      </c>
      <c r="B372" s="182"/>
      <c r="C372" s="183"/>
      <c r="D372" s="99"/>
      <c r="E372" s="90"/>
      <c r="F372" s="105"/>
      <c r="G372" s="89"/>
      <c r="H372" s="101"/>
      <c r="I372" s="90"/>
      <c r="J372" s="102"/>
      <c r="K372" s="127"/>
      <c r="L372" s="91"/>
      <c r="M372" s="103"/>
      <c r="N372" s="92"/>
    </row>
    <row r="373" spans="1:14" ht="39.950000000000003" customHeight="1" x14ac:dyDescent="0.25">
      <c r="A373" s="125">
        <f t="shared" si="5"/>
        <v>359</v>
      </c>
      <c r="B373" s="181"/>
      <c r="C373" s="182"/>
      <c r="D373" s="117"/>
      <c r="E373" s="101"/>
      <c r="F373" s="118"/>
      <c r="G373" s="122"/>
      <c r="H373" s="119"/>
      <c r="I373" s="101"/>
      <c r="J373" s="120"/>
      <c r="K373" s="126"/>
      <c r="L373" s="123"/>
      <c r="M373" s="121"/>
      <c r="N373" s="124"/>
    </row>
    <row r="374" spans="1:14" ht="39.950000000000003" customHeight="1" x14ac:dyDescent="0.25">
      <c r="A374" s="125">
        <f t="shared" si="5"/>
        <v>360</v>
      </c>
      <c r="B374" s="182"/>
      <c r="C374" s="183"/>
      <c r="D374" s="99"/>
      <c r="E374" s="90"/>
      <c r="F374" s="105"/>
      <c r="G374" s="89"/>
      <c r="H374" s="101"/>
      <c r="I374" s="90"/>
      <c r="J374" s="102"/>
      <c r="K374" s="127"/>
      <c r="L374" s="91"/>
      <c r="M374" s="103"/>
      <c r="N374" s="92"/>
    </row>
    <row r="375" spans="1:14" ht="39.950000000000003" customHeight="1" x14ac:dyDescent="0.25">
      <c r="A375" s="125">
        <f t="shared" si="5"/>
        <v>361</v>
      </c>
      <c r="B375" s="181"/>
      <c r="C375" s="182"/>
      <c r="D375" s="117"/>
      <c r="E375" s="101"/>
      <c r="F375" s="118"/>
      <c r="G375" s="122"/>
      <c r="H375" s="119"/>
      <c r="I375" s="101"/>
      <c r="J375" s="120"/>
      <c r="K375" s="126"/>
      <c r="L375" s="123"/>
      <c r="M375" s="121"/>
      <c r="N375" s="124"/>
    </row>
    <row r="376" spans="1:14" ht="39.950000000000003" customHeight="1" x14ac:dyDescent="0.25">
      <c r="A376" s="125">
        <f t="shared" si="5"/>
        <v>362</v>
      </c>
      <c r="B376" s="182"/>
      <c r="C376" s="183"/>
      <c r="D376" s="99"/>
      <c r="E376" s="90"/>
      <c r="F376" s="105"/>
      <c r="G376" s="89"/>
      <c r="H376" s="101"/>
      <c r="I376" s="90"/>
      <c r="J376" s="102"/>
      <c r="K376" s="127"/>
      <c r="L376" s="91"/>
      <c r="M376" s="103"/>
      <c r="N376" s="92"/>
    </row>
    <row r="377" spans="1:14" ht="39.950000000000003" customHeight="1" x14ac:dyDescent="0.25">
      <c r="A377" s="125">
        <f t="shared" si="5"/>
        <v>363</v>
      </c>
      <c r="B377" s="181"/>
      <c r="C377" s="182"/>
      <c r="D377" s="117"/>
      <c r="E377" s="101"/>
      <c r="F377" s="118"/>
      <c r="G377" s="122"/>
      <c r="H377" s="119"/>
      <c r="I377" s="101"/>
      <c r="J377" s="120"/>
      <c r="K377" s="126"/>
      <c r="L377" s="123"/>
      <c r="M377" s="121"/>
      <c r="N377" s="124"/>
    </row>
    <row r="378" spans="1:14" ht="39.950000000000003" customHeight="1" x14ac:dyDescent="0.25">
      <c r="A378" s="125">
        <f t="shared" si="5"/>
        <v>364</v>
      </c>
      <c r="B378" s="182"/>
      <c r="C378" s="183"/>
      <c r="D378" s="99"/>
      <c r="E378" s="90"/>
      <c r="F378" s="105"/>
      <c r="G378" s="89"/>
      <c r="H378" s="101"/>
      <c r="I378" s="90"/>
      <c r="J378" s="102"/>
      <c r="K378" s="127"/>
      <c r="L378" s="91"/>
      <c r="M378" s="103"/>
      <c r="N378" s="92"/>
    </row>
    <row r="379" spans="1:14" ht="39.950000000000003" customHeight="1" x14ac:dyDescent="0.25">
      <c r="A379" s="125">
        <f t="shared" si="5"/>
        <v>365</v>
      </c>
      <c r="B379" s="181"/>
      <c r="C379" s="182"/>
      <c r="D379" s="117"/>
      <c r="E379" s="101"/>
      <c r="F379" s="118"/>
      <c r="G379" s="122"/>
      <c r="H379" s="119"/>
      <c r="I379" s="101"/>
      <c r="J379" s="120"/>
      <c r="K379" s="126"/>
      <c r="L379" s="123"/>
      <c r="M379" s="121"/>
      <c r="N379" s="124"/>
    </row>
    <row r="380" spans="1:14" ht="39.950000000000003" customHeight="1" x14ac:dyDescent="0.25">
      <c r="A380" s="125">
        <f t="shared" si="5"/>
        <v>366</v>
      </c>
      <c r="B380" s="182"/>
      <c r="C380" s="183"/>
      <c r="D380" s="99"/>
      <c r="E380" s="90"/>
      <c r="F380" s="105"/>
      <c r="G380" s="89"/>
      <c r="H380" s="101"/>
      <c r="I380" s="90"/>
      <c r="J380" s="102"/>
      <c r="K380" s="127"/>
      <c r="L380" s="91"/>
      <c r="M380" s="103"/>
      <c r="N380" s="92"/>
    </row>
    <row r="381" spans="1:14" ht="39.950000000000003" customHeight="1" x14ac:dyDescent="0.25">
      <c r="A381" s="125">
        <f t="shared" si="5"/>
        <v>367</v>
      </c>
      <c r="B381" s="181"/>
      <c r="C381" s="182"/>
      <c r="D381" s="117"/>
      <c r="E381" s="101"/>
      <c r="F381" s="118"/>
      <c r="G381" s="122"/>
      <c r="H381" s="119"/>
      <c r="I381" s="101"/>
      <c r="J381" s="120"/>
      <c r="K381" s="126"/>
      <c r="L381" s="123"/>
      <c r="M381" s="121"/>
      <c r="N381" s="124"/>
    </row>
    <row r="382" spans="1:14" ht="39.950000000000003" customHeight="1" x14ac:dyDescent="0.25">
      <c r="A382" s="125">
        <f t="shared" si="5"/>
        <v>368</v>
      </c>
      <c r="B382" s="182"/>
      <c r="C382" s="183"/>
      <c r="D382" s="99"/>
      <c r="E382" s="90"/>
      <c r="F382" s="105"/>
      <c r="G382" s="89"/>
      <c r="H382" s="101"/>
      <c r="I382" s="90"/>
      <c r="J382" s="102"/>
      <c r="K382" s="127"/>
      <c r="L382" s="91"/>
      <c r="M382" s="103"/>
      <c r="N382" s="92"/>
    </row>
    <row r="383" spans="1:14" ht="39.950000000000003" customHeight="1" x14ac:dyDescent="0.25">
      <c r="A383" s="125">
        <f t="shared" si="5"/>
        <v>369</v>
      </c>
      <c r="B383" s="181"/>
      <c r="C383" s="182"/>
      <c r="D383" s="117"/>
      <c r="E383" s="101"/>
      <c r="F383" s="118"/>
      <c r="G383" s="122"/>
      <c r="H383" s="119"/>
      <c r="I383" s="101"/>
      <c r="J383" s="120"/>
      <c r="K383" s="126"/>
      <c r="L383" s="123"/>
      <c r="M383" s="121"/>
      <c r="N383" s="124"/>
    </row>
    <row r="384" spans="1:14" ht="39.950000000000003" customHeight="1" x14ac:dyDescent="0.25">
      <c r="A384" s="125">
        <f t="shared" si="5"/>
        <v>370</v>
      </c>
      <c r="B384" s="182"/>
      <c r="C384" s="183"/>
      <c r="D384" s="99"/>
      <c r="E384" s="90"/>
      <c r="F384" s="105"/>
      <c r="G384" s="89"/>
      <c r="H384" s="101"/>
      <c r="I384" s="90"/>
      <c r="J384" s="102"/>
      <c r="K384" s="127"/>
      <c r="L384" s="91"/>
      <c r="M384" s="103"/>
      <c r="N384" s="92"/>
    </row>
    <row r="385" spans="1:14" ht="39.950000000000003" customHeight="1" x14ac:dyDescent="0.25">
      <c r="A385" s="125">
        <f t="shared" si="5"/>
        <v>371</v>
      </c>
      <c r="B385" s="181"/>
      <c r="C385" s="182"/>
      <c r="D385" s="117"/>
      <c r="E385" s="101"/>
      <c r="F385" s="118"/>
      <c r="G385" s="122"/>
      <c r="H385" s="119"/>
      <c r="I385" s="101"/>
      <c r="J385" s="120"/>
      <c r="K385" s="126"/>
      <c r="L385" s="123"/>
      <c r="M385" s="121"/>
      <c r="N385" s="124"/>
    </row>
    <row r="386" spans="1:14" ht="39.950000000000003" customHeight="1" x14ac:dyDescent="0.25">
      <c r="A386" s="125">
        <f t="shared" si="5"/>
        <v>372</v>
      </c>
      <c r="B386" s="182"/>
      <c r="C386" s="183"/>
      <c r="D386" s="99"/>
      <c r="E386" s="90"/>
      <c r="F386" s="105"/>
      <c r="G386" s="89"/>
      <c r="H386" s="101"/>
      <c r="I386" s="90"/>
      <c r="J386" s="102"/>
      <c r="K386" s="127"/>
      <c r="L386" s="91"/>
      <c r="M386" s="103"/>
      <c r="N386" s="92"/>
    </row>
    <row r="387" spans="1:14" ht="39.950000000000003" customHeight="1" x14ac:dyDescent="0.25">
      <c r="A387" s="125">
        <f t="shared" si="5"/>
        <v>373</v>
      </c>
      <c r="B387" s="181"/>
      <c r="C387" s="182"/>
      <c r="D387" s="117"/>
      <c r="E387" s="101"/>
      <c r="F387" s="118"/>
      <c r="G387" s="122"/>
      <c r="H387" s="119"/>
      <c r="I387" s="101"/>
      <c r="J387" s="120"/>
      <c r="K387" s="126"/>
      <c r="L387" s="123"/>
      <c r="M387" s="121"/>
      <c r="N387" s="124"/>
    </row>
    <row r="388" spans="1:14" ht="39.950000000000003" customHeight="1" x14ac:dyDescent="0.25">
      <c r="A388" s="125">
        <f t="shared" si="5"/>
        <v>374</v>
      </c>
      <c r="B388" s="182"/>
      <c r="C388" s="183"/>
      <c r="D388" s="99"/>
      <c r="E388" s="90"/>
      <c r="F388" s="105"/>
      <c r="G388" s="89"/>
      <c r="H388" s="101"/>
      <c r="I388" s="90"/>
      <c r="J388" s="102"/>
      <c r="K388" s="127"/>
      <c r="L388" s="91"/>
      <c r="M388" s="103"/>
      <c r="N388" s="92"/>
    </row>
    <row r="389" spans="1:14" ht="39.950000000000003" customHeight="1" x14ac:dyDescent="0.25">
      <c r="A389" s="125">
        <f t="shared" si="5"/>
        <v>375</v>
      </c>
      <c r="B389" s="181"/>
      <c r="C389" s="182"/>
      <c r="D389" s="117"/>
      <c r="E389" s="101"/>
      <c r="F389" s="118"/>
      <c r="G389" s="122"/>
      <c r="H389" s="119"/>
      <c r="I389" s="101"/>
      <c r="J389" s="120"/>
      <c r="K389" s="126"/>
      <c r="L389" s="123"/>
      <c r="M389" s="121"/>
      <c r="N389" s="124"/>
    </row>
    <row r="390" spans="1:14" ht="39.950000000000003" customHeight="1" x14ac:dyDescent="0.25">
      <c r="A390" s="125">
        <f t="shared" si="5"/>
        <v>376</v>
      </c>
      <c r="B390" s="182"/>
      <c r="C390" s="183"/>
      <c r="D390" s="99"/>
      <c r="E390" s="90"/>
      <c r="F390" s="105"/>
      <c r="G390" s="89"/>
      <c r="H390" s="101"/>
      <c r="I390" s="90"/>
      <c r="J390" s="102"/>
      <c r="K390" s="127"/>
      <c r="L390" s="91"/>
      <c r="M390" s="103"/>
      <c r="N390" s="92"/>
    </row>
    <row r="391" spans="1:14" ht="39.950000000000003" customHeight="1" x14ac:dyDescent="0.25">
      <c r="A391" s="125">
        <f t="shared" si="5"/>
        <v>377</v>
      </c>
      <c r="B391" s="181"/>
      <c r="C391" s="182"/>
      <c r="D391" s="117"/>
      <c r="E391" s="101"/>
      <c r="F391" s="118"/>
      <c r="G391" s="122"/>
      <c r="H391" s="119"/>
      <c r="I391" s="101"/>
      <c r="J391" s="120"/>
      <c r="K391" s="126"/>
      <c r="L391" s="123"/>
      <c r="M391" s="121"/>
      <c r="N391" s="124"/>
    </row>
    <row r="392" spans="1:14" ht="39.950000000000003" customHeight="1" x14ac:dyDescent="0.25">
      <c r="A392" s="125">
        <f t="shared" si="5"/>
        <v>378</v>
      </c>
      <c r="B392" s="182"/>
      <c r="C392" s="183"/>
      <c r="D392" s="99"/>
      <c r="E392" s="90"/>
      <c r="F392" s="105"/>
      <c r="G392" s="89"/>
      <c r="H392" s="101"/>
      <c r="I392" s="90"/>
      <c r="J392" s="102"/>
      <c r="K392" s="127"/>
      <c r="L392" s="91"/>
      <c r="M392" s="103"/>
      <c r="N392" s="92"/>
    </row>
    <row r="393" spans="1:14" ht="39.950000000000003" customHeight="1" x14ac:dyDescent="0.25">
      <c r="A393" s="125">
        <f t="shared" si="5"/>
        <v>379</v>
      </c>
      <c r="B393" s="181"/>
      <c r="C393" s="182"/>
      <c r="D393" s="117"/>
      <c r="E393" s="101"/>
      <c r="F393" s="118"/>
      <c r="G393" s="122"/>
      <c r="H393" s="119"/>
      <c r="I393" s="101"/>
      <c r="J393" s="120"/>
      <c r="K393" s="126"/>
      <c r="L393" s="123"/>
      <c r="M393" s="121"/>
      <c r="N393" s="124"/>
    </row>
    <row r="394" spans="1:14" ht="39.950000000000003" customHeight="1" x14ac:dyDescent="0.25">
      <c r="A394" s="125">
        <f t="shared" si="5"/>
        <v>380</v>
      </c>
      <c r="B394" s="182"/>
      <c r="C394" s="183"/>
      <c r="D394" s="99"/>
      <c r="E394" s="90"/>
      <c r="F394" s="105"/>
      <c r="G394" s="89"/>
      <c r="H394" s="101"/>
      <c r="I394" s="90"/>
      <c r="J394" s="102"/>
      <c r="K394" s="127"/>
      <c r="L394" s="91"/>
      <c r="M394" s="103"/>
      <c r="N394" s="92"/>
    </row>
    <row r="395" spans="1:14" ht="39.950000000000003" customHeight="1" x14ac:dyDescent="0.25">
      <c r="A395" s="125">
        <f t="shared" si="5"/>
        <v>381</v>
      </c>
      <c r="B395" s="181"/>
      <c r="C395" s="182"/>
      <c r="D395" s="117"/>
      <c r="E395" s="101"/>
      <c r="F395" s="118"/>
      <c r="G395" s="122"/>
      <c r="H395" s="119"/>
      <c r="I395" s="101"/>
      <c r="J395" s="120"/>
      <c r="K395" s="126"/>
      <c r="L395" s="123"/>
      <c r="M395" s="121"/>
      <c r="N395" s="124"/>
    </row>
    <row r="396" spans="1:14" ht="39.950000000000003" customHeight="1" x14ac:dyDescent="0.25">
      <c r="A396" s="125">
        <f t="shared" si="5"/>
        <v>382</v>
      </c>
      <c r="B396" s="182"/>
      <c r="C396" s="183"/>
      <c r="D396" s="99"/>
      <c r="E396" s="90"/>
      <c r="F396" s="105"/>
      <c r="G396" s="89"/>
      <c r="H396" s="101"/>
      <c r="I396" s="90"/>
      <c r="J396" s="102"/>
      <c r="K396" s="127"/>
      <c r="L396" s="91"/>
      <c r="M396" s="103"/>
      <c r="N396" s="92"/>
    </row>
    <row r="397" spans="1:14" ht="39.950000000000003" customHeight="1" x14ac:dyDescent="0.25">
      <c r="A397" s="125">
        <f t="shared" si="5"/>
        <v>383</v>
      </c>
      <c r="B397" s="181"/>
      <c r="C397" s="182"/>
      <c r="D397" s="117"/>
      <c r="E397" s="101"/>
      <c r="F397" s="118"/>
      <c r="G397" s="122"/>
      <c r="H397" s="119"/>
      <c r="I397" s="101"/>
      <c r="J397" s="120"/>
      <c r="K397" s="126"/>
      <c r="L397" s="123"/>
      <c r="M397" s="121"/>
      <c r="N397" s="124"/>
    </row>
    <row r="398" spans="1:14" ht="39.950000000000003" customHeight="1" x14ac:dyDescent="0.25">
      <c r="A398" s="125">
        <f t="shared" si="5"/>
        <v>384</v>
      </c>
      <c r="B398" s="182"/>
      <c r="C398" s="183"/>
      <c r="D398" s="99"/>
      <c r="E398" s="90"/>
      <c r="F398" s="105"/>
      <c r="G398" s="89"/>
      <c r="H398" s="101"/>
      <c r="I398" s="90"/>
      <c r="J398" s="102"/>
      <c r="K398" s="127"/>
      <c r="L398" s="91"/>
      <c r="M398" s="103"/>
      <c r="N398" s="92"/>
    </row>
    <row r="399" spans="1:14" ht="39.950000000000003" customHeight="1" x14ac:dyDescent="0.25">
      <c r="A399" s="125">
        <f t="shared" si="5"/>
        <v>385</v>
      </c>
      <c r="B399" s="181"/>
      <c r="C399" s="182"/>
      <c r="D399" s="117"/>
      <c r="E399" s="101"/>
      <c r="F399" s="118"/>
      <c r="G399" s="122"/>
      <c r="H399" s="119"/>
      <c r="I399" s="101"/>
      <c r="J399" s="120"/>
      <c r="K399" s="126"/>
      <c r="L399" s="123"/>
      <c r="M399" s="121"/>
      <c r="N399" s="124"/>
    </row>
    <row r="400" spans="1:14" ht="39.950000000000003" customHeight="1" x14ac:dyDescent="0.25">
      <c r="A400" s="125">
        <f t="shared" ref="A400:A463" si="6">ROW(A386)</f>
        <v>386</v>
      </c>
      <c r="B400" s="182"/>
      <c r="C400" s="183"/>
      <c r="D400" s="99"/>
      <c r="E400" s="90"/>
      <c r="F400" s="105"/>
      <c r="G400" s="89"/>
      <c r="H400" s="101"/>
      <c r="I400" s="90"/>
      <c r="J400" s="102"/>
      <c r="K400" s="127"/>
      <c r="L400" s="91"/>
      <c r="M400" s="103"/>
      <c r="N400" s="92"/>
    </row>
    <row r="401" spans="1:14" ht="39.950000000000003" customHeight="1" x14ac:dyDescent="0.25">
      <c r="A401" s="125">
        <f t="shared" si="6"/>
        <v>387</v>
      </c>
      <c r="B401" s="181"/>
      <c r="C401" s="182"/>
      <c r="D401" s="117"/>
      <c r="E401" s="101"/>
      <c r="F401" s="118"/>
      <c r="G401" s="122"/>
      <c r="H401" s="119"/>
      <c r="I401" s="101"/>
      <c r="J401" s="120"/>
      <c r="K401" s="126"/>
      <c r="L401" s="123"/>
      <c r="M401" s="121"/>
      <c r="N401" s="124"/>
    </row>
    <row r="402" spans="1:14" ht="39.950000000000003" customHeight="1" x14ac:dyDescent="0.25">
      <c r="A402" s="125">
        <f t="shared" si="6"/>
        <v>388</v>
      </c>
      <c r="B402" s="182"/>
      <c r="C402" s="183"/>
      <c r="D402" s="99"/>
      <c r="E402" s="90"/>
      <c r="F402" s="105"/>
      <c r="G402" s="89"/>
      <c r="H402" s="101"/>
      <c r="I402" s="90"/>
      <c r="J402" s="102"/>
      <c r="K402" s="127"/>
      <c r="L402" s="91"/>
      <c r="M402" s="103"/>
      <c r="N402" s="92"/>
    </row>
    <row r="403" spans="1:14" ht="39.950000000000003" customHeight="1" x14ac:dyDescent="0.25">
      <c r="A403" s="125">
        <f t="shared" si="6"/>
        <v>389</v>
      </c>
      <c r="B403" s="181"/>
      <c r="C403" s="182"/>
      <c r="D403" s="117"/>
      <c r="E403" s="101"/>
      <c r="F403" s="118"/>
      <c r="G403" s="122"/>
      <c r="H403" s="119"/>
      <c r="I403" s="101"/>
      <c r="J403" s="120"/>
      <c r="K403" s="126"/>
      <c r="L403" s="123"/>
      <c r="M403" s="121"/>
      <c r="N403" s="124"/>
    </row>
    <row r="404" spans="1:14" ht="39.950000000000003" customHeight="1" x14ac:dyDescent="0.25">
      <c r="A404" s="125">
        <f t="shared" si="6"/>
        <v>390</v>
      </c>
      <c r="B404" s="182"/>
      <c r="C404" s="183"/>
      <c r="D404" s="99"/>
      <c r="E404" s="90"/>
      <c r="F404" s="105"/>
      <c r="G404" s="89"/>
      <c r="H404" s="101"/>
      <c r="I404" s="90"/>
      <c r="J404" s="102"/>
      <c r="K404" s="127"/>
      <c r="L404" s="91"/>
      <c r="M404" s="103"/>
      <c r="N404" s="92"/>
    </row>
    <row r="405" spans="1:14" ht="39.950000000000003" customHeight="1" x14ac:dyDescent="0.25">
      <c r="A405" s="125">
        <f t="shared" si="6"/>
        <v>391</v>
      </c>
      <c r="B405" s="181"/>
      <c r="C405" s="182"/>
      <c r="D405" s="117"/>
      <c r="E405" s="101"/>
      <c r="F405" s="118"/>
      <c r="G405" s="122"/>
      <c r="H405" s="119"/>
      <c r="I405" s="101"/>
      <c r="J405" s="120"/>
      <c r="K405" s="126"/>
      <c r="L405" s="123"/>
      <c r="M405" s="121"/>
      <c r="N405" s="124"/>
    </row>
    <row r="406" spans="1:14" ht="39.950000000000003" customHeight="1" x14ac:dyDescent="0.25">
      <c r="A406" s="125">
        <f t="shared" si="6"/>
        <v>392</v>
      </c>
      <c r="B406" s="182"/>
      <c r="C406" s="183"/>
      <c r="D406" s="99"/>
      <c r="E406" s="90"/>
      <c r="F406" s="105"/>
      <c r="G406" s="89"/>
      <c r="H406" s="101"/>
      <c r="I406" s="90"/>
      <c r="J406" s="102"/>
      <c r="K406" s="127"/>
      <c r="L406" s="91"/>
      <c r="M406" s="103"/>
      <c r="N406" s="92"/>
    </row>
    <row r="407" spans="1:14" ht="39.950000000000003" customHeight="1" x14ac:dyDescent="0.25">
      <c r="A407" s="125">
        <f t="shared" si="6"/>
        <v>393</v>
      </c>
      <c r="B407" s="181"/>
      <c r="C407" s="182"/>
      <c r="D407" s="117"/>
      <c r="E407" s="101"/>
      <c r="F407" s="118"/>
      <c r="G407" s="122"/>
      <c r="H407" s="119"/>
      <c r="I407" s="101"/>
      <c r="J407" s="120"/>
      <c r="K407" s="126"/>
      <c r="L407" s="123"/>
      <c r="M407" s="121"/>
      <c r="N407" s="124"/>
    </row>
    <row r="408" spans="1:14" ht="39.950000000000003" customHeight="1" x14ac:dyDescent="0.25">
      <c r="A408" s="125">
        <f t="shared" si="6"/>
        <v>394</v>
      </c>
      <c r="B408" s="182"/>
      <c r="C408" s="183"/>
      <c r="D408" s="99"/>
      <c r="E408" s="90"/>
      <c r="F408" s="105"/>
      <c r="G408" s="89"/>
      <c r="H408" s="101"/>
      <c r="I408" s="90"/>
      <c r="J408" s="102"/>
      <c r="K408" s="127"/>
      <c r="L408" s="91"/>
      <c r="M408" s="103"/>
      <c r="N408" s="92"/>
    </row>
    <row r="409" spans="1:14" ht="39.950000000000003" customHeight="1" x14ac:dyDescent="0.25">
      <c r="A409" s="125">
        <f t="shared" si="6"/>
        <v>395</v>
      </c>
      <c r="B409" s="181"/>
      <c r="C409" s="182"/>
      <c r="D409" s="117"/>
      <c r="E409" s="101"/>
      <c r="F409" s="118"/>
      <c r="G409" s="122"/>
      <c r="H409" s="119"/>
      <c r="I409" s="101"/>
      <c r="J409" s="120"/>
      <c r="K409" s="126"/>
      <c r="L409" s="123"/>
      <c r="M409" s="121"/>
      <c r="N409" s="124"/>
    </row>
    <row r="410" spans="1:14" ht="39.950000000000003" customHeight="1" x14ac:dyDescent="0.25">
      <c r="A410" s="125">
        <f t="shared" si="6"/>
        <v>396</v>
      </c>
      <c r="B410" s="182"/>
      <c r="C410" s="183"/>
      <c r="D410" s="99"/>
      <c r="E410" s="90"/>
      <c r="F410" s="105"/>
      <c r="G410" s="89"/>
      <c r="H410" s="101"/>
      <c r="I410" s="90"/>
      <c r="J410" s="102"/>
      <c r="K410" s="127"/>
      <c r="L410" s="91"/>
      <c r="M410" s="103"/>
      <c r="N410" s="92"/>
    </row>
    <row r="411" spans="1:14" ht="39.950000000000003" customHeight="1" x14ac:dyDescent="0.25">
      <c r="A411" s="125">
        <f t="shared" si="6"/>
        <v>397</v>
      </c>
      <c r="B411" s="181"/>
      <c r="C411" s="182"/>
      <c r="D411" s="117"/>
      <c r="E411" s="101"/>
      <c r="F411" s="118"/>
      <c r="G411" s="122"/>
      <c r="H411" s="119"/>
      <c r="I411" s="101"/>
      <c r="J411" s="120"/>
      <c r="K411" s="126"/>
      <c r="L411" s="123"/>
      <c r="M411" s="121"/>
      <c r="N411" s="124"/>
    </row>
    <row r="412" spans="1:14" ht="39.950000000000003" customHeight="1" x14ac:dyDescent="0.25">
      <c r="A412" s="125">
        <f t="shared" si="6"/>
        <v>398</v>
      </c>
      <c r="B412" s="182"/>
      <c r="C412" s="183"/>
      <c r="D412" s="99"/>
      <c r="E412" s="90"/>
      <c r="F412" s="105"/>
      <c r="G412" s="89"/>
      <c r="H412" s="101"/>
      <c r="I412" s="90"/>
      <c r="J412" s="102"/>
      <c r="K412" s="127"/>
      <c r="L412" s="91"/>
      <c r="M412" s="103"/>
      <c r="N412" s="92"/>
    </row>
    <row r="413" spans="1:14" ht="39.950000000000003" customHeight="1" x14ac:dyDescent="0.25">
      <c r="A413" s="125">
        <f t="shared" si="6"/>
        <v>399</v>
      </c>
      <c r="B413" s="181"/>
      <c r="C413" s="182"/>
      <c r="D413" s="117"/>
      <c r="E413" s="101"/>
      <c r="F413" s="118"/>
      <c r="G413" s="122"/>
      <c r="H413" s="119"/>
      <c r="I413" s="101"/>
      <c r="J413" s="120"/>
      <c r="K413" s="126"/>
      <c r="L413" s="123"/>
      <c r="M413" s="121"/>
      <c r="N413" s="124"/>
    </row>
    <row r="414" spans="1:14" ht="39.950000000000003" customHeight="1" x14ac:dyDescent="0.25">
      <c r="A414" s="125">
        <f t="shared" si="6"/>
        <v>400</v>
      </c>
      <c r="B414" s="182"/>
      <c r="C414" s="183"/>
      <c r="D414" s="99"/>
      <c r="E414" s="90"/>
      <c r="F414" s="105"/>
      <c r="G414" s="89"/>
      <c r="H414" s="101"/>
      <c r="I414" s="90"/>
      <c r="J414" s="102"/>
      <c r="K414" s="127"/>
      <c r="L414" s="91"/>
      <c r="M414" s="103"/>
      <c r="N414" s="92"/>
    </row>
    <row r="415" spans="1:14" ht="39.950000000000003" customHeight="1" x14ac:dyDescent="0.25">
      <c r="A415" s="125">
        <f t="shared" si="6"/>
        <v>401</v>
      </c>
      <c r="B415" s="181"/>
      <c r="C415" s="182"/>
      <c r="D415" s="117"/>
      <c r="E415" s="101"/>
      <c r="F415" s="118"/>
      <c r="G415" s="122"/>
      <c r="H415" s="119"/>
      <c r="I415" s="101"/>
      <c r="J415" s="120"/>
      <c r="K415" s="126"/>
      <c r="L415" s="123"/>
      <c r="M415" s="121"/>
      <c r="N415" s="124"/>
    </row>
    <row r="416" spans="1:14" ht="39.950000000000003" customHeight="1" x14ac:dyDescent="0.25">
      <c r="A416" s="125">
        <f t="shared" si="6"/>
        <v>402</v>
      </c>
      <c r="B416" s="182"/>
      <c r="C416" s="183"/>
      <c r="D416" s="99"/>
      <c r="E416" s="90"/>
      <c r="F416" s="105"/>
      <c r="G416" s="89"/>
      <c r="H416" s="101"/>
      <c r="I416" s="90"/>
      <c r="J416" s="102"/>
      <c r="K416" s="127"/>
      <c r="L416" s="91"/>
      <c r="M416" s="103"/>
      <c r="N416" s="92"/>
    </row>
    <row r="417" spans="1:14" ht="39.950000000000003" customHeight="1" x14ac:dyDescent="0.25">
      <c r="A417" s="125">
        <f t="shared" si="6"/>
        <v>403</v>
      </c>
      <c r="B417" s="181"/>
      <c r="C417" s="182"/>
      <c r="D417" s="117"/>
      <c r="E417" s="101"/>
      <c r="F417" s="118"/>
      <c r="G417" s="122"/>
      <c r="H417" s="119"/>
      <c r="I417" s="101"/>
      <c r="J417" s="120"/>
      <c r="K417" s="126"/>
      <c r="L417" s="123"/>
      <c r="M417" s="121"/>
      <c r="N417" s="124"/>
    </row>
    <row r="418" spans="1:14" ht="39.950000000000003" customHeight="1" x14ac:dyDescent="0.25">
      <c r="A418" s="125">
        <f t="shared" si="6"/>
        <v>404</v>
      </c>
      <c r="B418" s="182"/>
      <c r="C418" s="183"/>
      <c r="D418" s="99"/>
      <c r="E418" s="90"/>
      <c r="F418" s="105"/>
      <c r="G418" s="89"/>
      <c r="H418" s="101"/>
      <c r="I418" s="90"/>
      <c r="J418" s="102"/>
      <c r="K418" s="127"/>
      <c r="L418" s="91"/>
      <c r="M418" s="103"/>
      <c r="N418" s="92"/>
    </row>
    <row r="419" spans="1:14" ht="39.950000000000003" customHeight="1" x14ac:dyDescent="0.25">
      <c r="A419" s="125">
        <f t="shared" si="6"/>
        <v>405</v>
      </c>
      <c r="B419" s="181"/>
      <c r="C419" s="182"/>
      <c r="D419" s="117"/>
      <c r="E419" s="101"/>
      <c r="F419" s="118"/>
      <c r="G419" s="122"/>
      <c r="H419" s="119"/>
      <c r="I419" s="101"/>
      <c r="J419" s="120"/>
      <c r="K419" s="126"/>
      <c r="L419" s="123"/>
      <c r="M419" s="121"/>
      <c r="N419" s="124"/>
    </row>
    <row r="420" spans="1:14" ht="39.950000000000003" customHeight="1" x14ac:dyDescent="0.25">
      <c r="A420" s="125">
        <f t="shared" si="6"/>
        <v>406</v>
      </c>
      <c r="B420" s="182"/>
      <c r="C420" s="183"/>
      <c r="D420" s="99"/>
      <c r="E420" s="90"/>
      <c r="F420" s="105"/>
      <c r="G420" s="89"/>
      <c r="H420" s="101"/>
      <c r="I420" s="90"/>
      <c r="J420" s="102"/>
      <c r="K420" s="127"/>
      <c r="L420" s="91"/>
      <c r="M420" s="103"/>
      <c r="N420" s="92"/>
    </row>
    <row r="421" spans="1:14" ht="39.950000000000003" customHeight="1" x14ac:dyDescent="0.25">
      <c r="A421" s="125">
        <f t="shared" si="6"/>
        <v>407</v>
      </c>
      <c r="B421" s="181"/>
      <c r="C421" s="182"/>
      <c r="D421" s="117"/>
      <c r="E421" s="101"/>
      <c r="F421" s="118"/>
      <c r="G421" s="122"/>
      <c r="H421" s="119"/>
      <c r="I421" s="101"/>
      <c r="J421" s="120"/>
      <c r="K421" s="126"/>
      <c r="L421" s="123"/>
      <c r="M421" s="121"/>
      <c r="N421" s="124"/>
    </row>
    <row r="422" spans="1:14" ht="39.950000000000003" customHeight="1" x14ac:dyDescent="0.25">
      <c r="A422" s="125">
        <f t="shared" si="6"/>
        <v>408</v>
      </c>
      <c r="B422" s="182"/>
      <c r="C422" s="183"/>
      <c r="D422" s="99"/>
      <c r="E422" s="90"/>
      <c r="F422" s="105"/>
      <c r="G422" s="89"/>
      <c r="H422" s="101"/>
      <c r="I422" s="90"/>
      <c r="J422" s="102"/>
      <c r="K422" s="127"/>
      <c r="L422" s="91"/>
      <c r="M422" s="103"/>
      <c r="N422" s="92"/>
    </row>
    <row r="423" spans="1:14" ht="39.950000000000003" customHeight="1" x14ac:dyDescent="0.25">
      <c r="A423" s="125">
        <f t="shared" si="6"/>
        <v>409</v>
      </c>
      <c r="B423" s="181"/>
      <c r="C423" s="182"/>
      <c r="D423" s="117"/>
      <c r="E423" s="101"/>
      <c r="F423" s="118"/>
      <c r="G423" s="122"/>
      <c r="H423" s="119"/>
      <c r="I423" s="101"/>
      <c r="J423" s="120"/>
      <c r="K423" s="126"/>
      <c r="L423" s="123"/>
      <c r="M423" s="121"/>
      <c r="N423" s="124"/>
    </row>
    <row r="424" spans="1:14" ht="39.950000000000003" customHeight="1" x14ac:dyDescent="0.25">
      <c r="A424" s="125">
        <f t="shared" si="6"/>
        <v>410</v>
      </c>
      <c r="B424" s="182"/>
      <c r="C424" s="183"/>
      <c r="D424" s="99"/>
      <c r="E424" s="90"/>
      <c r="F424" s="105"/>
      <c r="G424" s="89"/>
      <c r="H424" s="101"/>
      <c r="I424" s="90"/>
      <c r="J424" s="102"/>
      <c r="K424" s="127"/>
      <c r="L424" s="91"/>
      <c r="M424" s="103"/>
      <c r="N424" s="92"/>
    </row>
    <row r="425" spans="1:14" ht="39.950000000000003" customHeight="1" x14ac:dyDescent="0.25">
      <c r="A425" s="125">
        <f t="shared" si="6"/>
        <v>411</v>
      </c>
      <c r="B425" s="181"/>
      <c r="C425" s="182"/>
      <c r="D425" s="117"/>
      <c r="E425" s="101"/>
      <c r="F425" s="118"/>
      <c r="G425" s="122"/>
      <c r="H425" s="119"/>
      <c r="I425" s="101"/>
      <c r="J425" s="120"/>
      <c r="K425" s="126"/>
      <c r="L425" s="123"/>
      <c r="M425" s="121"/>
      <c r="N425" s="124"/>
    </row>
    <row r="426" spans="1:14" ht="39.950000000000003" customHeight="1" x14ac:dyDescent="0.25">
      <c r="A426" s="125">
        <f t="shared" si="6"/>
        <v>412</v>
      </c>
      <c r="B426" s="182"/>
      <c r="C426" s="183"/>
      <c r="D426" s="99"/>
      <c r="E426" s="90"/>
      <c r="F426" s="105"/>
      <c r="G426" s="89"/>
      <c r="H426" s="101"/>
      <c r="I426" s="90"/>
      <c r="J426" s="102"/>
      <c r="K426" s="127"/>
      <c r="L426" s="91"/>
      <c r="M426" s="103"/>
      <c r="N426" s="92"/>
    </row>
    <row r="427" spans="1:14" ht="39.950000000000003" customHeight="1" x14ac:dyDescent="0.25">
      <c r="A427" s="125">
        <f t="shared" si="6"/>
        <v>413</v>
      </c>
      <c r="B427" s="181"/>
      <c r="C427" s="182"/>
      <c r="D427" s="117"/>
      <c r="E427" s="101"/>
      <c r="F427" s="118"/>
      <c r="G427" s="122"/>
      <c r="H427" s="119"/>
      <c r="I427" s="101"/>
      <c r="J427" s="120"/>
      <c r="K427" s="126"/>
      <c r="L427" s="123"/>
      <c r="M427" s="121"/>
      <c r="N427" s="124"/>
    </row>
    <row r="428" spans="1:14" ht="39.950000000000003" customHeight="1" x14ac:dyDescent="0.25">
      <c r="A428" s="125">
        <f t="shared" si="6"/>
        <v>414</v>
      </c>
      <c r="B428" s="182"/>
      <c r="C428" s="183"/>
      <c r="D428" s="99"/>
      <c r="E428" s="90"/>
      <c r="F428" s="105"/>
      <c r="G428" s="89"/>
      <c r="H428" s="101"/>
      <c r="I428" s="90"/>
      <c r="J428" s="102"/>
      <c r="K428" s="127"/>
      <c r="L428" s="91"/>
      <c r="M428" s="103"/>
      <c r="N428" s="92"/>
    </row>
    <row r="429" spans="1:14" ht="39.950000000000003" customHeight="1" x14ac:dyDescent="0.25">
      <c r="A429" s="125">
        <f t="shared" si="6"/>
        <v>415</v>
      </c>
      <c r="B429" s="181"/>
      <c r="C429" s="182"/>
      <c r="D429" s="117"/>
      <c r="E429" s="101"/>
      <c r="F429" s="118"/>
      <c r="G429" s="122"/>
      <c r="H429" s="119"/>
      <c r="I429" s="101"/>
      <c r="J429" s="120"/>
      <c r="K429" s="126"/>
      <c r="L429" s="123"/>
      <c r="M429" s="121"/>
      <c r="N429" s="124"/>
    </row>
    <row r="430" spans="1:14" ht="39.950000000000003" customHeight="1" x14ac:dyDescent="0.25">
      <c r="A430" s="125">
        <f t="shared" si="6"/>
        <v>416</v>
      </c>
      <c r="B430" s="182"/>
      <c r="C430" s="183"/>
      <c r="D430" s="99"/>
      <c r="E430" s="90"/>
      <c r="F430" s="105"/>
      <c r="G430" s="89"/>
      <c r="H430" s="101"/>
      <c r="I430" s="90"/>
      <c r="J430" s="102"/>
      <c r="K430" s="127"/>
      <c r="L430" s="91"/>
      <c r="M430" s="103"/>
      <c r="N430" s="92"/>
    </row>
    <row r="431" spans="1:14" ht="39.950000000000003" customHeight="1" x14ac:dyDescent="0.25">
      <c r="A431" s="125">
        <f t="shared" si="6"/>
        <v>417</v>
      </c>
      <c r="B431" s="181"/>
      <c r="C431" s="182"/>
      <c r="D431" s="117"/>
      <c r="E431" s="101"/>
      <c r="F431" s="118"/>
      <c r="G431" s="122"/>
      <c r="H431" s="119"/>
      <c r="I431" s="101"/>
      <c r="J431" s="120"/>
      <c r="K431" s="126"/>
      <c r="L431" s="123"/>
      <c r="M431" s="121"/>
      <c r="N431" s="124"/>
    </row>
    <row r="432" spans="1:14" ht="39.950000000000003" customHeight="1" x14ac:dyDescent="0.25">
      <c r="A432" s="125">
        <f t="shared" si="6"/>
        <v>418</v>
      </c>
      <c r="B432" s="182"/>
      <c r="C432" s="183"/>
      <c r="D432" s="99"/>
      <c r="E432" s="90"/>
      <c r="F432" s="105"/>
      <c r="G432" s="89"/>
      <c r="H432" s="101"/>
      <c r="I432" s="90"/>
      <c r="J432" s="102"/>
      <c r="K432" s="127"/>
      <c r="L432" s="91"/>
      <c r="M432" s="103"/>
      <c r="N432" s="92"/>
    </row>
    <row r="433" spans="1:14" ht="39.950000000000003" customHeight="1" x14ac:dyDescent="0.25">
      <c r="A433" s="125">
        <f t="shared" si="6"/>
        <v>419</v>
      </c>
      <c r="B433" s="181"/>
      <c r="C433" s="182"/>
      <c r="D433" s="117"/>
      <c r="E433" s="101"/>
      <c r="F433" s="118"/>
      <c r="G433" s="122"/>
      <c r="H433" s="119"/>
      <c r="I433" s="101"/>
      <c r="J433" s="120"/>
      <c r="K433" s="126"/>
      <c r="L433" s="123"/>
      <c r="M433" s="121"/>
      <c r="N433" s="124"/>
    </row>
    <row r="434" spans="1:14" ht="39.950000000000003" customHeight="1" x14ac:dyDescent="0.25">
      <c r="A434" s="125">
        <f t="shared" si="6"/>
        <v>420</v>
      </c>
      <c r="B434" s="182"/>
      <c r="C434" s="183"/>
      <c r="D434" s="99"/>
      <c r="E434" s="90"/>
      <c r="F434" s="105"/>
      <c r="G434" s="89"/>
      <c r="H434" s="101"/>
      <c r="I434" s="90"/>
      <c r="J434" s="102"/>
      <c r="K434" s="127"/>
      <c r="L434" s="91"/>
      <c r="M434" s="103"/>
      <c r="N434" s="92"/>
    </row>
    <row r="435" spans="1:14" ht="39.950000000000003" customHeight="1" x14ac:dyDescent="0.25">
      <c r="A435" s="125">
        <f t="shared" si="6"/>
        <v>421</v>
      </c>
      <c r="B435" s="181"/>
      <c r="C435" s="182"/>
      <c r="D435" s="117"/>
      <c r="E435" s="101"/>
      <c r="F435" s="118"/>
      <c r="G435" s="122"/>
      <c r="H435" s="119"/>
      <c r="I435" s="101"/>
      <c r="J435" s="120"/>
      <c r="K435" s="126"/>
      <c r="L435" s="123"/>
      <c r="M435" s="121"/>
      <c r="N435" s="124"/>
    </row>
    <row r="436" spans="1:14" ht="39.950000000000003" customHeight="1" x14ac:dyDescent="0.25">
      <c r="A436" s="125">
        <f t="shared" si="6"/>
        <v>422</v>
      </c>
      <c r="B436" s="182"/>
      <c r="C436" s="183"/>
      <c r="D436" s="99"/>
      <c r="E436" s="90"/>
      <c r="F436" s="105"/>
      <c r="G436" s="89"/>
      <c r="H436" s="101"/>
      <c r="I436" s="90"/>
      <c r="J436" s="102"/>
      <c r="K436" s="127"/>
      <c r="L436" s="91"/>
      <c r="M436" s="103"/>
      <c r="N436" s="92"/>
    </row>
    <row r="437" spans="1:14" ht="39.950000000000003" customHeight="1" x14ac:dyDescent="0.25">
      <c r="A437" s="125">
        <f t="shared" si="6"/>
        <v>423</v>
      </c>
      <c r="B437" s="181"/>
      <c r="C437" s="182"/>
      <c r="D437" s="117"/>
      <c r="E437" s="101"/>
      <c r="F437" s="118"/>
      <c r="G437" s="122"/>
      <c r="H437" s="119"/>
      <c r="I437" s="101"/>
      <c r="J437" s="120"/>
      <c r="K437" s="126"/>
      <c r="L437" s="123"/>
      <c r="M437" s="121"/>
      <c r="N437" s="124"/>
    </row>
    <row r="438" spans="1:14" ht="39.950000000000003" customHeight="1" x14ac:dyDescent="0.25">
      <c r="A438" s="125">
        <f t="shared" si="6"/>
        <v>424</v>
      </c>
      <c r="B438" s="182"/>
      <c r="C438" s="183"/>
      <c r="D438" s="99"/>
      <c r="E438" s="90"/>
      <c r="F438" s="105"/>
      <c r="G438" s="89"/>
      <c r="H438" s="101"/>
      <c r="I438" s="90"/>
      <c r="J438" s="102"/>
      <c r="K438" s="127"/>
      <c r="L438" s="91"/>
      <c r="M438" s="103"/>
      <c r="N438" s="92"/>
    </row>
    <row r="439" spans="1:14" ht="39.950000000000003" customHeight="1" x14ac:dyDescent="0.25">
      <c r="A439" s="125">
        <f t="shared" si="6"/>
        <v>425</v>
      </c>
      <c r="B439" s="181"/>
      <c r="C439" s="182"/>
      <c r="D439" s="117"/>
      <c r="E439" s="101"/>
      <c r="F439" s="118"/>
      <c r="G439" s="122"/>
      <c r="H439" s="119"/>
      <c r="I439" s="101"/>
      <c r="J439" s="120"/>
      <c r="K439" s="126"/>
      <c r="L439" s="123"/>
      <c r="M439" s="121"/>
      <c r="N439" s="124"/>
    </row>
    <row r="440" spans="1:14" ht="39.950000000000003" customHeight="1" x14ac:dyDescent="0.25">
      <c r="A440" s="125">
        <f t="shared" si="6"/>
        <v>426</v>
      </c>
      <c r="B440" s="182"/>
      <c r="C440" s="183"/>
      <c r="D440" s="99"/>
      <c r="E440" s="90"/>
      <c r="F440" s="105"/>
      <c r="G440" s="89"/>
      <c r="H440" s="101"/>
      <c r="I440" s="90"/>
      <c r="J440" s="102"/>
      <c r="K440" s="127"/>
      <c r="L440" s="91"/>
      <c r="M440" s="103"/>
      <c r="N440" s="92"/>
    </row>
    <row r="441" spans="1:14" ht="39.950000000000003" customHeight="1" x14ac:dyDescent="0.25">
      <c r="A441" s="125">
        <f t="shared" si="6"/>
        <v>427</v>
      </c>
      <c r="B441" s="181"/>
      <c r="C441" s="182"/>
      <c r="D441" s="117"/>
      <c r="E441" s="101"/>
      <c r="F441" s="118"/>
      <c r="G441" s="122"/>
      <c r="H441" s="119"/>
      <c r="I441" s="101"/>
      <c r="J441" s="120"/>
      <c r="K441" s="126"/>
      <c r="L441" s="123"/>
      <c r="M441" s="121"/>
      <c r="N441" s="124"/>
    </row>
    <row r="442" spans="1:14" ht="39.950000000000003" customHeight="1" x14ac:dyDescent="0.25">
      <c r="A442" s="125">
        <f t="shared" si="6"/>
        <v>428</v>
      </c>
      <c r="B442" s="182"/>
      <c r="C442" s="183"/>
      <c r="D442" s="99"/>
      <c r="E442" s="90"/>
      <c r="F442" s="105"/>
      <c r="G442" s="89"/>
      <c r="H442" s="101"/>
      <c r="I442" s="90"/>
      <c r="J442" s="102"/>
      <c r="K442" s="127"/>
      <c r="L442" s="91"/>
      <c r="M442" s="103"/>
      <c r="N442" s="92"/>
    </row>
    <row r="443" spans="1:14" ht="39.950000000000003" customHeight="1" x14ac:dyDescent="0.25">
      <c r="A443" s="125">
        <f t="shared" si="6"/>
        <v>429</v>
      </c>
      <c r="B443" s="181"/>
      <c r="C443" s="182"/>
      <c r="D443" s="117"/>
      <c r="E443" s="101"/>
      <c r="F443" s="118"/>
      <c r="G443" s="122"/>
      <c r="H443" s="119"/>
      <c r="I443" s="101"/>
      <c r="J443" s="120"/>
      <c r="K443" s="126"/>
      <c r="L443" s="123"/>
      <c r="M443" s="121"/>
      <c r="N443" s="124"/>
    </row>
    <row r="444" spans="1:14" ht="39.950000000000003" customHeight="1" x14ac:dyDescent="0.25">
      <c r="A444" s="125">
        <f t="shared" si="6"/>
        <v>430</v>
      </c>
      <c r="B444" s="182"/>
      <c r="C444" s="183"/>
      <c r="D444" s="99"/>
      <c r="E444" s="90"/>
      <c r="F444" s="105"/>
      <c r="G444" s="89"/>
      <c r="H444" s="101"/>
      <c r="I444" s="90"/>
      <c r="J444" s="102"/>
      <c r="K444" s="127"/>
      <c r="L444" s="91"/>
      <c r="M444" s="103"/>
      <c r="N444" s="92"/>
    </row>
    <row r="445" spans="1:14" ht="39.950000000000003" customHeight="1" x14ac:dyDescent="0.25">
      <c r="A445" s="125">
        <f t="shared" si="6"/>
        <v>431</v>
      </c>
      <c r="B445" s="181"/>
      <c r="C445" s="182"/>
      <c r="D445" s="117"/>
      <c r="E445" s="101"/>
      <c r="F445" s="118"/>
      <c r="G445" s="122"/>
      <c r="H445" s="119"/>
      <c r="I445" s="101"/>
      <c r="J445" s="120"/>
      <c r="K445" s="126"/>
      <c r="L445" s="123"/>
      <c r="M445" s="121"/>
      <c r="N445" s="124"/>
    </row>
    <row r="446" spans="1:14" ht="39.950000000000003" customHeight="1" x14ac:dyDescent="0.25">
      <c r="A446" s="125">
        <f t="shared" si="6"/>
        <v>432</v>
      </c>
      <c r="B446" s="182"/>
      <c r="C446" s="183"/>
      <c r="D446" s="99"/>
      <c r="E446" s="90"/>
      <c r="F446" s="105"/>
      <c r="G446" s="89"/>
      <c r="H446" s="101"/>
      <c r="I446" s="90"/>
      <c r="J446" s="102"/>
      <c r="K446" s="127"/>
      <c r="L446" s="91"/>
      <c r="M446" s="103"/>
      <c r="N446" s="92"/>
    </row>
    <row r="447" spans="1:14" ht="39.950000000000003" customHeight="1" x14ac:dyDescent="0.25">
      <c r="A447" s="125">
        <f t="shared" si="6"/>
        <v>433</v>
      </c>
      <c r="B447" s="181"/>
      <c r="C447" s="182"/>
      <c r="D447" s="117"/>
      <c r="E447" s="101"/>
      <c r="F447" s="118"/>
      <c r="G447" s="122"/>
      <c r="H447" s="119"/>
      <c r="I447" s="101"/>
      <c r="J447" s="120"/>
      <c r="K447" s="126"/>
      <c r="L447" s="123"/>
      <c r="M447" s="121"/>
      <c r="N447" s="124"/>
    </row>
    <row r="448" spans="1:14" ht="39.950000000000003" customHeight="1" x14ac:dyDescent="0.25">
      <c r="A448" s="125">
        <f t="shared" si="6"/>
        <v>434</v>
      </c>
      <c r="B448" s="182"/>
      <c r="C448" s="183"/>
      <c r="D448" s="99"/>
      <c r="E448" s="90"/>
      <c r="F448" s="105"/>
      <c r="G448" s="89"/>
      <c r="H448" s="101"/>
      <c r="I448" s="90"/>
      <c r="J448" s="102"/>
      <c r="K448" s="127"/>
      <c r="L448" s="91"/>
      <c r="M448" s="103"/>
      <c r="N448" s="92"/>
    </row>
    <row r="449" spans="1:14" ht="39.950000000000003" customHeight="1" x14ac:dyDescent="0.25">
      <c r="A449" s="125">
        <f t="shared" si="6"/>
        <v>435</v>
      </c>
      <c r="B449" s="181"/>
      <c r="C449" s="182"/>
      <c r="D449" s="117"/>
      <c r="E449" s="101"/>
      <c r="F449" s="118"/>
      <c r="G449" s="122"/>
      <c r="H449" s="119"/>
      <c r="I449" s="101"/>
      <c r="J449" s="120"/>
      <c r="K449" s="126"/>
      <c r="L449" s="123"/>
      <c r="M449" s="121"/>
      <c r="N449" s="124"/>
    </row>
    <row r="450" spans="1:14" ht="39.950000000000003" customHeight="1" x14ac:dyDescent="0.25">
      <c r="A450" s="125">
        <f t="shared" si="6"/>
        <v>436</v>
      </c>
      <c r="B450" s="182"/>
      <c r="C450" s="183"/>
      <c r="D450" s="99"/>
      <c r="E450" s="90"/>
      <c r="F450" s="105"/>
      <c r="G450" s="89"/>
      <c r="H450" s="101"/>
      <c r="I450" s="90"/>
      <c r="J450" s="102"/>
      <c r="K450" s="127"/>
      <c r="L450" s="91"/>
      <c r="M450" s="103"/>
      <c r="N450" s="92"/>
    </row>
    <row r="451" spans="1:14" ht="39.950000000000003" customHeight="1" x14ac:dyDescent="0.25">
      <c r="A451" s="125">
        <f t="shared" si="6"/>
        <v>437</v>
      </c>
      <c r="B451" s="181"/>
      <c r="C451" s="182"/>
      <c r="D451" s="117"/>
      <c r="E451" s="101"/>
      <c r="F451" s="118"/>
      <c r="G451" s="122"/>
      <c r="H451" s="119"/>
      <c r="I451" s="101"/>
      <c r="J451" s="120"/>
      <c r="K451" s="126"/>
      <c r="L451" s="123"/>
      <c r="M451" s="121"/>
      <c r="N451" s="124"/>
    </row>
    <row r="452" spans="1:14" ht="39.950000000000003" customHeight="1" x14ac:dyDescent="0.25">
      <c r="A452" s="125">
        <f t="shared" si="6"/>
        <v>438</v>
      </c>
      <c r="B452" s="182"/>
      <c r="C452" s="183"/>
      <c r="D452" s="99"/>
      <c r="E452" s="90"/>
      <c r="F452" s="105"/>
      <c r="G452" s="89"/>
      <c r="H452" s="101"/>
      <c r="I452" s="90"/>
      <c r="J452" s="102"/>
      <c r="K452" s="127"/>
      <c r="L452" s="91"/>
      <c r="M452" s="103"/>
      <c r="N452" s="92"/>
    </row>
    <row r="453" spans="1:14" ht="39.950000000000003" customHeight="1" x14ac:dyDescent="0.25">
      <c r="A453" s="125">
        <f t="shared" si="6"/>
        <v>439</v>
      </c>
      <c r="B453" s="181"/>
      <c r="C453" s="182"/>
      <c r="D453" s="117"/>
      <c r="E453" s="101"/>
      <c r="F453" s="118"/>
      <c r="G453" s="122"/>
      <c r="H453" s="119"/>
      <c r="I453" s="101"/>
      <c r="J453" s="120"/>
      <c r="K453" s="126"/>
      <c r="L453" s="123"/>
      <c r="M453" s="121"/>
      <c r="N453" s="124"/>
    </row>
    <row r="454" spans="1:14" ht="39.950000000000003" customHeight="1" x14ac:dyDescent="0.25">
      <c r="A454" s="125">
        <f t="shared" si="6"/>
        <v>440</v>
      </c>
      <c r="B454" s="182"/>
      <c r="C454" s="183"/>
      <c r="D454" s="99"/>
      <c r="E454" s="90"/>
      <c r="F454" s="105"/>
      <c r="G454" s="89"/>
      <c r="H454" s="101"/>
      <c r="I454" s="90"/>
      <c r="J454" s="102"/>
      <c r="K454" s="127"/>
      <c r="L454" s="91"/>
      <c r="M454" s="103"/>
      <c r="N454" s="92"/>
    </row>
    <row r="455" spans="1:14" ht="39.950000000000003" customHeight="1" x14ac:dyDescent="0.25">
      <c r="A455" s="125">
        <f t="shared" si="6"/>
        <v>441</v>
      </c>
      <c r="B455" s="181"/>
      <c r="C455" s="182"/>
      <c r="D455" s="117"/>
      <c r="E455" s="101"/>
      <c r="F455" s="118"/>
      <c r="G455" s="122"/>
      <c r="H455" s="119"/>
      <c r="I455" s="101"/>
      <c r="J455" s="120"/>
      <c r="K455" s="126"/>
      <c r="L455" s="123"/>
      <c r="M455" s="121"/>
      <c r="N455" s="124"/>
    </row>
    <row r="456" spans="1:14" ht="39.950000000000003" customHeight="1" x14ac:dyDescent="0.25">
      <c r="A456" s="125">
        <f t="shared" si="6"/>
        <v>442</v>
      </c>
      <c r="B456" s="182"/>
      <c r="C456" s="183"/>
      <c r="D456" s="99"/>
      <c r="E456" s="90"/>
      <c r="F456" s="105"/>
      <c r="G456" s="89"/>
      <c r="H456" s="101"/>
      <c r="I456" s="90"/>
      <c r="J456" s="102"/>
      <c r="K456" s="127"/>
      <c r="L456" s="91"/>
      <c r="M456" s="103"/>
      <c r="N456" s="92"/>
    </row>
    <row r="457" spans="1:14" ht="39.950000000000003" customHeight="1" x14ac:dyDescent="0.25">
      <c r="A457" s="125">
        <f t="shared" si="6"/>
        <v>443</v>
      </c>
      <c r="B457" s="181"/>
      <c r="C457" s="182"/>
      <c r="D457" s="117"/>
      <c r="E457" s="101"/>
      <c r="F457" s="118"/>
      <c r="G457" s="122"/>
      <c r="H457" s="119"/>
      <c r="I457" s="101"/>
      <c r="J457" s="120"/>
      <c r="K457" s="126"/>
      <c r="L457" s="123"/>
      <c r="M457" s="121"/>
      <c r="N457" s="124"/>
    </row>
    <row r="458" spans="1:14" ht="39.950000000000003" customHeight="1" x14ac:dyDescent="0.25">
      <c r="A458" s="125">
        <f t="shared" si="6"/>
        <v>444</v>
      </c>
      <c r="B458" s="182"/>
      <c r="C458" s="183"/>
      <c r="D458" s="99"/>
      <c r="E458" s="90"/>
      <c r="F458" s="105"/>
      <c r="G458" s="89"/>
      <c r="H458" s="101"/>
      <c r="I458" s="90"/>
      <c r="J458" s="102"/>
      <c r="K458" s="127"/>
      <c r="L458" s="91"/>
      <c r="M458" s="103"/>
      <c r="N458" s="92"/>
    </row>
    <row r="459" spans="1:14" ht="39.950000000000003" customHeight="1" x14ac:dyDescent="0.25">
      <c r="A459" s="125">
        <f t="shared" si="6"/>
        <v>445</v>
      </c>
      <c r="B459" s="181"/>
      <c r="C459" s="182"/>
      <c r="D459" s="117"/>
      <c r="E459" s="101"/>
      <c r="F459" s="118"/>
      <c r="G459" s="122"/>
      <c r="H459" s="119"/>
      <c r="I459" s="101"/>
      <c r="J459" s="120"/>
      <c r="K459" s="126"/>
      <c r="L459" s="123"/>
      <c r="M459" s="121"/>
      <c r="N459" s="124"/>
    </row>
    <row r="460" spans="1:14" ht="39.950000000000003" customHeight="1" x14ac:dyDescent="0.25">
      <c r="A460" s="125">
        <f t="shared" si="6"/>
        <v>446</v>
      </c>
      <c r="B460" s="182"/>
      <c r="C460" s="183"/>
      <c r="D460" s="99"/>
      <c r="E460" s="90"/>
      <c r="F460" s="105"/>
      <c r="G460" s="89"/>
      <c r="H460" s="101"/>
      <c r="I460" s="90"/>
      <c r="J460" s="102"/>
      <c r="K460" s="127"/>
      <c r="L460" s="91"/>
      <c r="M460" s="103"/>
      <c r="N460" s="92"/>
    </row>
    <row r="461" spans="1:14" ht="39.950000000000003" customHeight="1" x14ac:dyDescent="0.25">
      <c r="A461" s="125">
        <f t="shared" si="6"/>
        <v>447</v>
      </c>
      <c r="B461" s="181"/>
      <c r="C461" s="182"/>
      <c r="D461" s="117"/>
      <c r="E461" s="101"/>
      <c r="F461" s="118"/>
      <c r="G461" s="122"/>
      <c r="H461" s="119"/>
      <c r="I461" s="101"/>
      <c r="J461" s="120"/>
      <c r="K461" s="126"/>
      <c r="L461" s="123"/>
      <c r="M461" s="121"/>
      <c r="N461" s="124"/>
    </row>
    <row r="462" spans="1:14" ht="39.950000000000003" customHeight="1" x14ac:dyDescent="0.25">
      <c r="A462" s="125">
        <f t="shared" si="6"/>
        <v>448</v>
      </c>
      <c r="B462" s="182"/>
      <c r="C462" s="183"/>
      <c r="D462" s="99"/>
      <c r="E462" s="90"/>
      <c r="F462" s="105"/>
      <c r="G462" s="89"/>
      <c r="H462" s="101"/>
      <c r="I462" s="90"/>
      <c r="J462" s="102"/>
      <c r="K462" s="127"/>
      <c r="L462" s="91"/>
      <c r="M462" s="103"/>
      <c r="N462" s="92"/>
    </row>
    <row r="463" spans="1:14" ht="39.950000000000003" customHeight="1" x14ac:dyDescent="0.25">
      <c r="A463" s="125">
        <f t="shared" si="6"/>
        <v>449</v>
      </c>
      <c r="B463" s="181"/>
      <c r="C463" s="182"/>
      <c r="D463" s="117"/>
      <c r="E463" s="101"/>
      <c r="F463" s="118"/>
      <c r="G463" s="122"/>
      <c r="H463" s="119"/>
      <c r="I463" s="101"/>
      <c r="J463" s="120"/>
      <c r="K463" s="126"/>
      <c r="L463" s="123"/>
      <c r="M463" s="121"/>
      <c r="N463" s="124"/>
    </row>
    <row r="464" spans="1:14" ht="39.950000000000003" customHeight="1" x14ac:dyDescent="0.25">
      <c r="A464" s="125">
        <f t="shared" ref="A464:A514" si="7">ROW(A450)</f>
        <v>450</v>
      </c>
      <c r="B464" s="182"/>
      <c r="C464" s="183"/>
      <c r="D464" s="99"/>
      <c r="E464" s="90"/>
      <c r="F464" s="105"/>
      <c r="G464" s="89"/>
      <c r="H464" s="101"/>
      <c r="I464" s="90"/>
      <c r="J464" s="102"/>
      <c r="K464" s="127"/>
      <c r="L464" s="91"/>
      <c r="M464" s="103"/>
      <c r="N464" s="92"/>
    </row>
    <row r="465" spans="1:14" ht="39.950000000000003" customHeight="1" x14ac:dyDescent="0.25">
      <c r="A465" s="125">
        <f t="shared" si="7"/>
        <v>451</v>
      </c>
      <c r="B465" s="181"/>
      <c r="C465" s="182"/>
      <c r="D465" s="117"/>
      <c r="E465" s="101"/>
      <c r="F465" s="118"/>
      <c r="G465" s="122"/>
      <c r="H465" s="119"/>
      <c r="I465" s="101"/>
      <c r="J465" s="120"/>
      <c r="K465" s="126"/>
      <c r="L465" s="123"/>
      <c r="M465" s="121"/>
      <c r="N465" s="124"/>
    </row>
    <row r="466" spans="1:14" ht="39.950000000000003" customHeight="1" x14ac:dyDescent="0.25">
      <c r="A466" s="125">
        <f t="shared" si="7"/>
        <v>452</v>
      </c>
      <c r="B466" s="182"/>
      <c r="C466" s="183"/>
      <c r="D466" s="99"/>
      <c r="E466" s="90"/>
      <c r="F466" s="105"/>
      <c r="G466" s="89"/>
      <c r="H466" s="101"/>
      <c r="I466" s="90"/>
      <c r="J466" s="102"/>
      <c r="K466" s="127"/>
      <c r="L466" s="91"/>
      <c r="M466" s="103"/>
      <c r="N466" s="92"/>
    </row>
    <row r="467" spans="1:14" ht="39.950000000000003" customHeight="1" x14ac:dyDescent="0.25">
      <c r="A467" s="125">
        <f t="shared" si="7"/>
        <v>453</v>
      </c>
      <c r="B467" s="181"/>
      <c r="C467" s="182"/>
      <c r="D467" s="117"/>
      <c r="E467" s="101"/>
      <c r="F467" s="118"/>
      <c r="G467" s="122"/>
      <c r="H467" s="119"/>
      <c r="I467" s="101"/>
      <c r="J467" s="120"/>
      <c r="K467" s="126"/>
      <c r="L467" s="123"/>
      <c r="M467" s="121"/>
      <c r="N467" s="124"/>
    </row>
    <row r="468" spans="1:14" ht="39.950000000000003" customHeight="1" x14ac:dyDescent="0.25">
      <c r="A468" s="125">
        <f t="shared" si="7"/>
        <v>454</v>
      </c>
      <c r="B468" s="182"/>
      <c r="C468" s="183"/>
      <c r="D468" s="99"/>
      <c r="E468" s="90"/>
      <c r="F468" s="105"/>
      <c r="G468" s="89"/>
      <c r="H468" s="101"/>
      <c r="I468" s="90"/>
      <c r="J468" s="102"/>
      <c r="K468" s="127"/>
      <c r="L468" s="91"/>
      <c r="M468" s="103"/>
      <c r="N468" s="92"/>
    </row>
    <row r="469" spans="1:14" ht="39.950000000000003" customHeight="1" x14ac:dyDescent="0.25">
      <c r="A469" s="125">
        <f t="shared" si="7"/>
        <v>455</v>
      </c>
      <c r="B469" s="181"/>
      <c r="C469" s="182"/>
      <c r="D469" s="117"/>
      <c r="E469" s="101"/>
      <c r="F469" s="118"/>
      <c r="G469" s="122"/>
      <c r="H469" s="119"/>
      <c r="I469" s="101"/>
      <c r="J469" s="120"/>
      <c r="K469" s="126"/>
      <c r="L469" s="123"/>
      <c r="M469" s="121"/>
      <c r="N469" s="124"/>
    </row>
    <row r="470" spans="1:14" ht="39.950000000000003" customHeight="1" x14ac:dyDescent="0.25">
      <c r="A470" s="125">
        <f t="shared" si="7"/>
        <v>456</v>
      </c>
      <c r="B470" s="182"/>
      <c r="C470" s="183"/>
      <c r="D470" s="99"/>
      <c r="E470" s="90"/>
      <c r="F470" s="105"/>
      <c r="G470" s="89"/>
      <c r="H470" s="101"/>
      <c r="I470" s="90"/>
      <c r="J470" s="102"/>
      <c r="K470" s="127"/>
      <c r="L470" s="91"/>
      <c r="M470" s="103"/>
      <c r="N470" s="92"/>
    </row>
    <row r="471" spans="1:14" ht="39.950000000000003" customHeight="1" x14ac:dyDescent="0.25">
      <c r="A471" s="125">
        <f t="shared" si="7"/>
        <v>457</v>
      </c>
      <c r="B471" s="181"/>
      <c r="C471" s="182"/>
      <c r="D471" s="117"/>
      <c r="E471" s="101"/>
      <c r="F471" s="118"/>
      <c r="G471" s="122"/>
      <c r="H471" s="119"/>
      <c r="I471" s="101"/>
      <c r="J471" s="120"/>
      <c r="K471" s="126"/>
      <c r="L471" s="123"/>
      <c r="M471" s="121"/>
      <c r="N471" s="124"/>
    </row>
    <row r="472" spans="1:14" ht="39.950000000000003" customHeight="1" x14ac:dyDescent="0.25">
      <c r="A472" s="125">
        <f t="shared" si="7"/>
        <v>458</v>
      </c>
      <c r="B472" s="182"/>
      <c r="C472" s="183"/>
      <c r="D472" s="99"/>
      <c r="E472" s="90"/>
      <c r="F472" s="105"/>
      <c r="G472" s="89"/>
      <c r="H472" s="101"/>
      <c r="I472" s="90"/>
      <c r="J472" s="102"/>
      <c r="K472" s="127"/>
      <c r="L472" s="91"/>
      <c r="M472" s="103"/>
      <c r="N472" s="92"/>
    </row>
    <row r="473" spans="1:14" ht="39.950000000000003" customHeight="1" x14ac:dyDescent="0.25">
      <c r="A473" s="125">
        <f t="shared" si="7"/>
        <v>459</v>
      </c>
      <c r="B473" s="181"/>
      <c r="C473" s="182"/>
      <c r="D473" s="117"/>
      <c r="E473" s="101"/>
      <c r="F473" s="118"/>
      <c r="G473" s="122"/>
      <c r="H473" s="119"/>
      <c r="I473" s="101"/>
      <c r="J473" s="120"/>
      <c r="K473" s="126"/>
      <c r="L473" s="123"/>
      <c r="M473" s="121"/>
      <c r="N473" s="124"/>
    </row>
    <row r="474" spans="1:14" ht="39.950000000000003" customHeight="1" x14ac:dyDescent="0.25">
      <c r="A474" s="125">
        <f t="shared" si="7"/>
        <v>460</v>
      </c>
      <c r="B474" s="182"/>
      <c r="C474" s="183"/>
      <c r="D474" s="99"/>
      <c r="E474" s="90"/>
      <c r="F474" s="105"/>
      <c r="G474" s="89"/>
      <c r="H474" s="101"/>
      <c r="I474" s="90"/>
      <c r="J474" s="102"/>
      <c r="K474" s="127"/>
      <c r="L474" s="91"/>
      <c r="M474" s="103"/>
      <c r="N474" s="92"/>
    </row>
    <row r="475" spans="1:14" ht="39.950000000000003" customHeight="1" x14ac:dyDescent="0.25">
      <c r="A475" s="125">
        <f t="shared" si="7"/>
        <v>461</v>
      </c>
      <c r="B475" s="181"/>
      <c r="C475" s="182"/>
      <c r="D475" s="117"/>
      <c r="E475" s="101"/>
      <c r="F475" s="118"/>
      <c r="G475" s="122"/>
      <c r="H475" s="119"/>
      <c r="I475" s="101"/>
      <c r="J475" s="120"/>
      <c r="K475" s="126"/>
      <c r="L475" s="123"/>
      <c r="M475" s="121"/>
      <c r="N475" s="124"/>
    </row>
    <row r="476" spans="1:14" ht="39.950000000000003" customHeight="1" x14ac:dyDescent="0.25">
      <c r="A476" s="125">
        <f t="shared" si="7"/>
        <v>462</v>
      </c>
      <c r="B476" s="182"/>
      <c r="C476" s="183"/>
      <c r="D476" s="99"/>
      <c r="E476" s="90"/>
      <c r="F476" s="105"/>
      <c r="G476" s="89"/>
      <c r="H476" s="101"/>
      <c r="I476" s="90"/>
      <c r="J476" s="102"/>
      <c r="K476" s="127"/>
      <c r="L476" s="91"/>
      <c r="M476" s="103"/>
      <c r="N476" s="92"/>
    </row>
    <row r="477" spans="1:14" ht="39.950000000000003" customHeight="1" x14ac:dyDescent="0.25">
      <c r="A477" s="125">
        <f t="shared" si="7"/>
        <v>463</v>
      </c>
      <c r="B477" s="181"/>
      <c r="C477" s="182"/>
      <c r="D477" s="117"/>
      <c r="E477" s="101"/>
      <c r="F477" s="118"/>
      <c r="G477" s="122"/>
      <c r="H477" s="119"/>
      <c r="I477" s="101"/>
      <c r="J477" s="120"/>
      <c r="K477" s="126"/>
      <c r="L477" s="123"/>
      <c r="M477" s="121"/>
      <c r="N477" s="124"/>
    </row>
    <row r="478" spans="1:14" ht="39.950000000000003" customHeight="1" x14ac:dyDescent="0.25">
      <c r="A478" s="125">
        <f t="shared" si="7"/>
        <v>464</v>
      </c>
      <c r="B478" s="182"/>
      <c r="C478" s="183"/>
      <c r="D478" s="99"/>
      <c r="E478" s="90"/>
      <c r="F478" s="105"/>
      <c r="G478" s="89"/>
      <c r="H478" s="101"/>
      <c r="I478" s="90"/>
      <c r="J478" s="102"/>
      <c r="K478" s="127"/>
      <c r="L478" s="91"/>
      <c r="M478" s="103"/>
      <c r="N478" s="92"/>
    </row>
    <row r="479" spans="1:14" ht="39.950000000000003" customHeight="1" x14ac:dyDescent="0.25">
      <c r="A479" s="125">
        <f t="shared" si="7"/>
        <v>465</v>
      </c>
      <c r="B479" s="181"/>
      <c r="C479" s="182"/>
      <c r="D479" s="117"/>
      <c r="E479" s="101"/>
      <c r="F479" s="118"/>
      <c r="G479" s="122"/>
      <c r="H479" s="119"/>
      <c r="I479" s="101"/>
      <c r="J479" s="120"/>
      <c r="K479" s="126"/>
      <c r="L479" s="123"/>
      <c r="M479" s="121"/>
      <c r="N479" s="124"/>
    </row>
    <row r="480" spans="1:14" ht="39.950000000000003" customHeight="1" x14ac:dyDescent="0.25">
      <c r="A480" s="125">
        <f t="shared" si="7"/>
        <v>466</v>
      </c>
      <c r="B480" s="182"/>
      <c r="C480" s="183"/>
      <c r="D480" s="99"/>
      <c r="E480" s="90"/>
      <c r="F480" s="105"/>
      <c r="G480" s="89"/>
      <c r="H480" s="101"/>
      <c r="I480" s="90"/>
      <c r="J480" s="102"/>
      <c r="K480" s="127"/>
      <c r="L480" s="91"/>
      <c r="M480" s="103"/>
      <c r="N480" s="92"/>
    </row>
    <row r="481" spans="1:14" ht="39.950000000000003" customHeight="1" x14ac:dyDescent="0.25">
      <c r="A481" s="125">
        <f t="shared" si="7"/>
        <v>467</v>
      </c>
      <c r="B481" s="181"/>
      <c r="C481" s="182"/>
      <c r="D481" s="117"/>
      <c r="E481" s="101"/>
      <c r="F481" s="118"/>
      <c r="G481" s="122"/>
      <c r="H481" s="119"/>
      <c r="I481" s="101"/>
      <c r="J481" s="120"/>
      <c r="K481" s="126"/>
      <c r="L481" s="123"/>
      <c r="M481" s="121"/>
      <c r="N481" s="124"/>
    </row>
    <row r="482" spans="1:14" ht="39.950000000000003" customHeight="1" x14ac:dyDescent="0.25">
      <c r="A482" s="125">
        <f t="shared" si="7"/>
        <v>468</v>
      </c>
      <c r="B482" s="182"/>
      <c r="C482" s="183"/>
      <c r="D482" s="99"/>
      <c r="E482" s="90"/>
      <c r="F482" s="105"/>
      <c r="G482" s="89"/>
      <c r="H482" s="101"/>
      <c r="I482" s="90"/>
      <c r="J482" s="102"/>
      <c r="K482" s="127"/>
      <c r="L482" s="91"/>
      <c r="M482" s="103"/>
      <c r="N482" s="92"/>
    </row>
    <row r="483" spans="1:14" ht="39.950000000000003" customHeight="1" x14ac:dyDescent="0.25">
      <c r="A483" s="125">
        <f t="shared" si="7"/>
        <v>469</v>
      </c>
      <c r="B483" s="181"/>
      <c r="C483" s="182"/>
      <c r="D483" s="117"/>
      <c r="E483" s="101"/>
      <c r="F483" s="118"/>
      <c r="G483" s="122"/>
      <c r="H483" s="119"/>
      <c r="I483" s="101"/>
      <c r="J483" s="120"/>
      <c r="K483" s="126"/>
      <c r="L483" s="123"/>
      <c r="M483" s="121"/>
      <c r="N483" s="124"/>
    </row>
    <row r="484" spans="1:14" ht="39.950000000000003" customHeight="1" x14ac:dyDescent="0.25">
      <c r="A484" s="125">
        <f t="shared" si="7"/>
        <v>470</v>
      </c>
      <c r="B484" s="182"/>
      <c r="C484" s="183"/>
      <c r="D484" s="99"/>
      <c r="E484" s="90"/>
      <c r="F484" s="105"/>
      <c r="G484" s="89"/>
      <c r="H484" s="101"/>
      <c r="I484" s="90"/>
      <c r="J484" s="102"/>
      <c r="K484" s="127"/>
      <c r="L484" s="91"/>
      <c r="M484" s="103"/>
      <c r="N484" s="92"/>
    </row>
    <row r="485" spans="1:14" ht="39.950000000000003" customHeight="1" x14ac:dyDescent="0.25">
      <c r="A485" s="125">
        <f t="shared" si="7"/>
        <v>471</v>
      </c>
      <c r="B485" s="181"/>
      <c r="C485" s="182"/>
      <c r="D485" s="117"/>
      <c r="E485" s="101"/>
      <c r="F485" s="118"/>
      <c r="G485" s="122"/>
      <c r="H485" s="119"/>
      <c r="I485" s="101"/>
      <c r="J485" s="120"/>
      <c r="K485" s="126"/>
      <c r="L485" s="123"/>
      <c r="M485" s="121"/>
      <c r="N485" s="124"/>
    </row>
    <row r="486" spans="1:14" ht="39.950000000000003" customHeight="1" x14ac:dyDescent="0.25">
      <c r="A486" s="125">
        <f t="shared" si="7"/>
        <v>472</v>
      </c>
      <c r="B486" s="182"/>
      <c r="C486" s="183"/>
      <c r="D486" s="99"/>
      <c r="E486" s="90"/>
      <c r="F486" s="105"/>
      <c r="G486" s="89"/>
      <c r="H486" s="101"/>
      <c r="I486" s="90"/>
      <c r="J486" s="102"/>
      <c r="K486" s="127"/>
      <c r="L486" s="91"/>
      <c r="M486" s="103"/>
      <c r="N486" s="92"/>
    </row>
    <row r="487" spans="1:14" ht="39.950000000000003" customHeight="1" x14ac:dyDescent="0.25">
      <c r="A487" s="125">
        <f t="shared" si="7"/>
        <v>473</v>
      </c>
      <c r="B487" s="181"/>
      <c r="C487" s="182"/>
      <c r="D487" s="117"/>
      <c r="E487" s="101"/>
      <c r="F487" s="118"/>
      <c r="G487" s="122"/>
      <c r="H487" s="119"/>
      <c r="I487" s="101"/>
      <c r="J487" s="120"/>
      <c r="K487" s="126"/>
      <c r="L487" s="123"/>
      <c r="M487" s="121"/>
      <c r="N487" s="124"/>
    </row>
    <row r="488" spans="1:14" ht="39.950000000000003" customHeight="1" x14ac:dyDescent="0.25">
      <c r="A488" s="125">
        <f t="shared" si="7"/>
        <v>474</v>
      </c>
      <c r="B488" s="182"/>
      <c r="C488" s="183"/>
      <c r="D488" s="99"/>
      <c r="E488" s="90"/>
      <c r="F488" s="105"/>
      <c r="G488" s="89"/>
      <c r="H488" s="101"/>
      <c r="I488" s="90"/>
      <c r="J488" s="102"/>
      <c r="K488" s="127"/>
      <c r="L488" s="91"/>
      <c r="M488" s="103"/>
      <c r="N488" s="92"/>
    </row>
    <row r="489" spans="1:14" ht="39.950000000000003" customHeight="1" x14ac:dyDescent="0.25">
      <c r="A489" s="125">
        <f t="shared" si="7"/>
        <v>475</v>
      </c>
      <c r="B489" s="181"/>
      <c r="C489" s="182"/>
      <c r="D489" s="117"/>
      <c r="E489" s="101"/>
      <c r="F489" s="118"/>
      <c r="G489" s="122"/>
      <c r="H489" s="119"/>
      <c r="I489" s="101"/>
      <c r="J489" s="120"/>
      <c r="K489" s="126"/>
      <c r="L489" s="123"/>
      <c r="M489" s="121"/>
      <c r="N489" s="124"/>
    </row>
    <row r="490" spans="1:14" ht="39.950000000000003" customHeight="1" x14ac:dyDescent="0.25">
      <c r="A490" s="125">
        <f t="shared" si="7"/>
        <v>476</v>
      </c>
      <c r="B490" s="182"/>
      <c r="C490" s="183"/>
      <c r="D490" s="99"/>
      <c r="E490" s="90"/>
      <c r="F490" s="105"/>
      <c r="G490" s="89"/>
      <c r="H490" s="101"/>
      <c r="I490" s="90"/>
      <c r="J490" s="102"/>
      <c r="K490" s="127"/>
      <c r="L490" s="91"/>
      <c r="M490" s="103"/>
      <c r="N490" s="92"/>
    </row>
    <row r="491" spans="1:14" ht="39.950000000000003" customHeight="1" x14ac:dyDescent="0.25">
      <c r="A491" s="125">
        <f t="shared" si="7"/>
        <v>477</v>
      </c>
      <c r="B491" s="181"/>
      <c r="C491" s="182"/>
      <c r="D491" s="117"/>
      <c r="E491" s="101"/>
      <c r="F491" s="118"/>
      <c r="G491" s="122"/>
      <c r="H491" s="119"/>
      <c r="I491" s="101"/>
      <c r="J491" s="120"/>
      <c r="K491" s="126"/>
      <c r="L491" s="123"/>
      <c r="M491" s="121"/>
      <c r="N491" s="124"/>
    </row>
    <row r="492" spans="1:14" ht="39.950000000000003" customHeight="1" x14ac:dyDescent="0.25">
      <c r="A492" s="125">
        <f t="shared" si="7"/>
        <v>478</v>
      </c>
      <c r="B492" s="182"/>
      <c r="C492" s="183"/>
      <c r="D492" s="99"/>
      <c r="E492" s="90"/>
      <c r="F492" s="105"/>
      <c r="G492" s="89"/>
      <c r="H492" s="101"/>
      <c r="I492" s="90"/>
      <c r="J492" s="102"/>
      <c r="K492" s="127"/>
      <c r="L492" s="91"/>
      <c r="M492" s="103"/>
      <c r="N492" s="92"/>
    </row>
    <row r="493" spans="1:14" ht="39.950000000000003" customHeight="1" x14ac:dyDescent="0.25">
      <c r="A493" s="125">
        <f t="shared" si="7"/>
        <v>479</v>
      </c>
      <c r="B493" s="181"/>
      <c r="C493" s="182"/>
      <c r="D493" s="117"/>
      <c r="E493" s="101"/>
      <c r="F493" s="118"/>
      <c r="G493" s="122"/>
      <c r="H493" s="119"/>
      <c r="I493" s="101"/>
      <c r="J493" s="120"/>
      <c r="K493" s="126"/>
      <c r="L493" s="123"/>
      <c r="M493" s="121"/>
      <c r="N493" s="124"/>
    </row>
    <row r="494" spans="1:14" ht="39.950000000000003" customHeight="1" x14ac:dyDescent="0.25">
      <c r="A494" s="125">
        <f t="shared" si="7"/>
        <v>480</v>
      </c>
      <c r="B494" s="182"/>
      <c r="C494" s="183"/>
      <c r="D494" s="99"/>
      <c r="E494" s="90"/>
      <c r="F494" s="105"/>
      <c r="G494" s="89"/>
      <c r="H494" s="101"/>
      <c r="I494" s="90"/>
      <c r="J494" s="102"/>
      <c r="K494" s="127"/>
      <c r="L494" s="91"/>
      <c r="M494" s="103"/>
      <c r="N494" s="92"/>
    </row>
    <row r="495" spans="1:14" ht="39.950000000000003" customHeight="1" x14ac:dyDescent="0.25">
      <c r="A495" s="125">
        <f t="shared" si="7"/>
        <v>481</v>
      </c>
      <c r="B495" s="181"/>
      <c r="C495" s="182"/>
      <c r="D495" s="117"/>
      <c r="E495" s="101"/>
      <c r="F495" s="118"/>
      <c r="G495" s="122"/>
      <c r="H495" s="119"/>
      <c r="I495" s="101"/>
      <c r="J495" s="120"/>
      <c r="K495" s="126"/>
      <c r="L495" s="123"/>
      <c r="M495" s="121"/>
      <c r="N495" s="124"/>
    </row>
    <row r="496" spans="1:14" ht="39.950000000000003" customHeight="1" x14ac:dyDescent="0.25">
      <c r="A496" s="125">
        <f t="shared" si="7"/>
        <v>482</v>
      </c>
      <c r="B496" s="182"/>
      <c r="C496" s="183"/>
      <c r="D496" s="99"/>
      <c r="E496" s="90"/>
      <c r="F496" s="105"/>
      <c r="G496" s="89"/>
      <c r="H496" s="101"/>
      <c r="I496" s="90"/>
      <c r="J496" s="102"/>
      <c r="K496" s="127"/>
      <c r="L496" s="91"/>
      <c r="M496" s="103"/>
      <c r="N496" s="92"/>
    </row>
    <row r="497" spans="1:14" ht="39.950000000000003" customHeight="1" x14ac:dyDescent="0.25">
      <c r="A497" s="125">
        <f t="shared" si="7"/>
        <v>483</v>
      </c>
      <c r="B497" s="181"/>
      <c r="C497" s="182"/>
      <c r="D497" s="117"/>
      <c r="E497" s="101"/>
      <c r="F497" s="118"/>
      <c r="G497" s="122"/>
      <c r="H497" s="119"/>
      <c r="I497" s="101"/>
      <c r="J497" s="120"/>
      <c r="K497" s="126"/>
      <c r="L497" s="123"/>
      <c r="M497" s="121"/>
      <c r="N497" s="124"/>
    </row>
    <row r="498" spans="1:14" ht="39.950000000000003" customHeight="1" x14ac:dyDescent="0.25">
      <c r="A498" s="125">
        <f t="shared" si="7"/>
        <v>484</v>
      </c>
      <c r="B498" s="182"/>
      <c r="C498" s="183"/>
      <c r="D498" s="99"/>
      <c r="E498" s="90"/>
      <c r="F498" s="105"/>
      <c r="G498" s="89"/>
      <c r="H498" s="101"/>
      <c r="I498" s="90"/>
      <c r="J498" s="102"/>
      <c r="K498" s="127"/>
      <c r="L498" s="91"/>
      <c r="M498" s="103"/>
      <c r="N498" s="92"/>
    </row>
    <row r="499" spans="1:14" ht="39.950000000000003" customHeight="1" x14ac:dyDescent="0.25">
      <c r="A499" s="125">
        <f t="shared" si="7"/>
        <v>485</v>
      </c>
      <c r="B499" s="181"/>
      <c r="C499" s="182"/>
      <c r="D499" s="117"/>
      <c r="E499" s="101"/>
      <c r="F499" s="118"/>
      <c r="G499" s="122"/>
      <c r="H499" s="119"/>
      <c r="I499" s="101"/>
      <c r="J499" s="120"/>
      <c r="K499" s="126"/>
      <c r="L499" s="123"/>
      <c r="M499" s="121"/>
      <c r="N499" s="124"/>
    </row>
    <row r="500" spans="1:14" ht="39.950000000000003" customHeight="1" x14ac:dyDescent="0.25">
      <c r="A500" s="125">
        <f t="shared" si="7"/>
        <v>486</v>
      </c>
      <c r="B500" s="182"/>
      <c r="C500" s="183"/>
      <c r="D500" s="99"/>
      <c r="E500" s="90"/>
      <c r="F500" s="105"/>
      <c r="G500" s="89"/>
      <c r="H500" s="101"/>
      <c r="I500" s="90"/>
      <c r="J500" s="102"/>
      <c r="K500" s="127"/>
      <c r="L500" s="91"/>
      <c r="M500" s="103"/>
      <c r="N500" s="92"/>
    </row>
    <row r="501" spans="1:14" ht="39.950000000000003" customHeight="1" x14ac:dyDescent="0.25">
      <c r="A501" s="125">
        <f t="shared" si="7"/>
        <v>487</v>
      </c>
      <c r="B501" s="181"/>
      <c r="C501" s="182"/>
      <c r="D501" s="117"/>
      <c r="E501" s="101"/>
      <c r="F501" s="118"/>
      <c r="G501" s="122"/>
      <c r="H501" s="119"/>
      <c r="I501" s="101"/>
      <c r="J501" s="120"/>
      <c r="K501" s="126"/>
      <c r="L501" s="123"/>
      <c r="M501" s="121"/>
      <c r="N501" s="124"/>
    </row>
    <row r="502" spans="1:14" ht="39.950000000000003" customHeight="1" x14ac:dyDescent="0.25">
      <c r="A502" s="125">
        <f t="shared" si="7"/>
        <v>488</v>
      </c>
      <c r="B502" s="182"/>
      <c r="C502" s="183"/>
      <c r="D502" s="99"/>
      <c r="E502" s="90"/>
      <c r="F502" s="105"/>
      <c r="G502" s="89"/>
      <c r="H502" s="101"/>
      <c r="I502" s="90"/>
      <c r="J502" s="102"/>
      <c r="K502" s="127"/>
      <c r="L502" s="91"/>
      <c r="M502" s="103"/>
      <c r="N502" s="92"/>
    </row>
    <row r="503" spans="1:14" ht="39.950000000000003" customHeight="1" x14ac:dyDescent="0.25">
      <c r="A503" s="125">
        <f t="shared" si="7"/>
        <v>489</v>
      </c>
      <c r="B503" s="181"/>
      <c r="C503" s="182"/>
      <c r="D503" s="117"/>
      <c r="E503" s="101"/>
      <c r="F503" s="118"/>
      <c r="G503" s="122"/>
      <c r="H503" s="119"/>
      <c r="I503" s="101"/>
      <c r="J503" s="120"/>
      <c r="K503" s="126"/>
      <c r="L503" s="123"/>
      <c r="M503" s="121"/>
      <c r="N503" s="124"/>
    </row>
    <row r="504" spans="1:14" ht="39.950000000000003" customHeight="1" x14ac:dyDescent="0.25">
      <c r="A504" s="125">
        <f t="shared" si="7"/>
        <v>490</v>
      </c>
      <c r="B504" s="182"/>
      <c r="C504" s="183"/>
      <c r="D504" s="99"/>
      <c r="E504" s="90"/>
      <c r="F504" s="105"/>
      <c r="G504" s="89"/>
      <c r="H504" s="101"/>
      <c r="I504" s="90"/>
      <c r="J504" s="102"/>
      <c r="K504" s="127"/>
      <c r="L504" s="91"/>
      <c r="M504" s="103"/>
      <c r="N504" s="92"/>
    </row>
    <row r="505" spans="1:14" ht="39.950000000000003" customHeight="1" x14ac:dyDescent="0.25">
      <c r="A505" s="125">
        <f t="shared" si="7"/>
        <v>491</v>
      </c>
      <c r="B505" s="181"/>
      <c r="C505" s="182"/>
      <c r="D505" s="117"/>
      <c r="E505" s="101"/>
      <c r="F505" s="118"/>
      <c r="G505" s="122"/>
      <c r="H505" s="119"/>
      <c r="I505" s="101"/>
      <c r="J505" s="120"/>
      <c r="K505" s="126"/>
      <c r="L505" s="123"/>
      <c r="M505" s="121"/>
      <c r="N505" s="124"/>
    </row>
    <row r="506" spans="1:14" ht="39.950000000000003" customHeight="1" x14ac:dyDescent="0.25">
      <c r="A506" s="125">
        <f t="shared" si="7"/>
        <v>492</v>
      </c>
      <c r="B506" s="182"/>
      <c r="C506" s="183"/>
      <c r="D506" s="99"/>
      <c r="E506" s="90"/>
      <c r="F506" s="105"/>
      <c r="G506" s="89"/>
      <c r="H506" s="101"/>
      <c r="I506" s="90"/>
      <c r="J506" s="102"/>
      <c r="K506" s="127"/>
      <c r="L506" s="91"/>
      <c r="M506" s="103"/>
      <c r="N506" s="92"/>
    </row>
    <row r="507" spans="1:14" ht="39.950000000000003" customHeight="1" x14ac:dyDescent="0.25">
      <c r="A507" s="125">
        <f t="shared" si="7"/>
        <v>493</v>
      </c>
      <c r="B507" s="181"/>
      <c r="C507" s="182"/>
      <c r="D507" s="117"/>
      <c r="E507" s="101"/>
      <c r="F507" s="118"/>
      <c r="G507" s="122"/>
      <c r="H507" s="119"/>
      <c r="I507" s="101"/>
      <c r="J507" s="120"/>
      <c r="K507" s="126"/>
      <c r="L507" s="123"/>
      <c r="M507" s="121"/>
      <c r="N507" s="124"/>
    </row>
    <row r="508" spans="1:14" ht="39.950000000000003" customHeight="1" x14ac:dyDescent="0.25">
      <c r="A508" s="125">
        <f t="shared" si="7"/>
        <v>494</v>
      </c>
      <c r="B508" s="182"/>
      <c r="C508" s="183"/>
      <c r="D508" s="99"/>
      <c r="E508" s="90"/>
      <c r="F508" s="105"/>
      <c r="G508" s="89"/>
      <c r="H508" s="101"/>
      <c r="I508" s="90"/>
      <c r="J508" s="102"/>
      <c r="K508" s="127"/>
      <c r="L508" s="91"/>
      <c r="M508" s="103"/>
      <c r="N508" s="92"/>
    </row>
    <row r="509" spans="1:14" ht="39.950000000000003" customHeight="1" x14ac:dyDescent="0.25">
      <c r="A509" s="125">
        <f t="shared" si="7"/>
        <v>495</v>
      </c>
      <c r="B509" s="181"/>
      <c r="C509" s="182"/>
      <c r="D509" s="117"/>
      <c r="E509" s="101"/>
      <c r="F509" s="118"/>
      <c r="G509" s="122"/>
      <c r="H509" s="119"/>
      <c r="I509" s="101"/>
      <c r="J509" s="120"/>
      <c r="K509" s="126"/>
      <c r="L509" s="123"/>
      <c r="M509" s="121"/>
      <c r="N509" s="124"/>
    </row>
    <row r="510" spans="1:14" ht="39.950000000000003" customHeight="1" x14ac:dyDescent="0.25">
      <c r="A510" s="125">
        <f t="shared" si="7"/>
        <v>496</v>
      </c>
      <c r="B510" s="182"/>
      <c r="C510" s="183"/>
      <c r="D510" s="99"/>
      <c r="E510" s="90"/>
      <c r="F510" s="105"/>
      <c r="G510" s="89"/>
      <c r="H510" s="101"/>
      <c r="I510" s="90"/>
      <c r="J510" s="102"/>
      <c r="K510" s="127"/>
      <c r="L510" s="91"/>
      <c r="M510" s="103"/>
      <c r="N510" s="92"/>
    </row>
    <row r="511" spans="1:14" ht="39.950000000000003" customHeight="1" x14ac:dyDescent="0.25">
      <c r="A511" s="125">
        <f t="shared" si="7"/>
        <v>497</v>
      </c>
      <c r="B511" s="181"/>
      <c r="C511" s="182"/>
      <c r="D511" s="117"/>
      <c r="E511" s="101"/>
      <c r="F511" s="118"/>
      <c r="G511" s="122"/>
      <c r="H511" s="119"/>
      <c r="I511" s="101"/>
      <c r="J511" s="120"/>
      <c r="K511" s="126"/>
      <c r="L511" s="123"/>
      <c r="M511" s="121"/>
      <c r="N511" s="124"/>
    </row>
    <row r="512" spans="1:14" ht="39.950000000000003" customHeight="1" x14ac:dyDescent="0.25">
      <c r="A512" s="125">
        <f t="shared" si="7"/>
        <v>498</v>
      </c>
      <c r="B512" s="182"/>
      <c r="C512" s="183"/>
      <c r="D512" s="99"/>
      <c r="E512" s="90"/>
      <c r="F512" s="105"/>
      <c r="G512" s="89"/>
      <c r="H512" s="101"/>
      <c r="I512" s="90"/>
      <c r="J512" s="102"/>
      <c r="K512" s="127"/>
      <c r="L512" s="91"/>
      <c r="M512" s="103"/>
      <c r="N512" s="92"/>
    </row>
    <row r="513" spans="1:14" ht="39.950000000000003" customHeight="1" x14ac:dyDescent="0.25">
      <c r="A513" s="125">
        <f t="shared" si="7"/>
        <v>499</v>
      </c>
      <c r="B513" s="181"/>
      <c r="C513" s="182"/>
      <c r="D513" s="117"/>
      <c r="E513" s="101"/>
      <c r="F513" s="118"/>
      <c r="G513" s="122"/>
      <c r="H513" s="119"/>
      <c r="I513" s="101"/>
      <c r="J513" s="120"/>
      <c r="K513" s="126"/>
      <c r="L513" s="123"/>
      <c r="M513" s="121"/>
      <c r="N513" s="124"/>
    </row>
    <row r="514" spans="1:14" ht="39.950000000000003" customHeight="1" x14ac:dyDescent="0.25">
      <c r="A514" s="125">
        <f t="shared" si="7"/>
        <v>500</v>
      </c>
      <c r="B514" s="182"/>
      <c r="C514" s="183"/>
      <c r="D514" s="99"/>
      <c r="E514" s="90"/>
      <c r="F514" s="105"/>
      <c r="G514" s="89"/>
      <c r="H514" s="101"/>
      <c r="I514" s="90"/>
      <c r="J514" s="102"/>
      <c r="K514" s="127"/>
      <c r="L514" s="91"/>
      <c r="M514" s="103"/>
      <c r="N514" s="92"/>
    </row>
    <row r="515" spans="1:14" ht="15.75" x14ac:dyDescent="0.25">
      <c r="F515" s="106"/>
      <c r="G515" s="107"/>
      <c r="H515" s="108"/>
      <c r="I515" s="108"/>
      <c r="J515" s="106"/>
    </row>
    <row r="516" spans="1:14" ht="15.75" x14ac:dyDescent="0.25">
      <c r="G516" s="109"/>
      <c r="H516" s="110"/>
      <c r="I516" s="110"/>
    </row>
    <row r="517" spans="1:14" ht="15.75" x14ac:dyDescent="0.25">
      <c r="G517" s="109"/>
      <c r="H517" s="110"/>
      <c r="I517" s="110"/>
    </row>
    <row r="518" spans="1:14" ht="15.75" x14ac:dyDescent="0.25">
      <c r="G518" s="109"/>
      <c r="H518" s="110"/>
      <c r="I518" s="110"/>
    </row>
    <row r="519" spans="1:14" ht="15.75" x14ac:dyDescent="0.25">
      <c r="G519" s="109"/>
      <c r="H519" s="110"/>
      <c r="I519" s="110"/>
    </row>
    <row r="520" spans="1:14" ht="15.75" x14ac:dyDescent="0.25">
      <c r="G520" s="109"/>
      <c r="H520" s="110"/>
      <c r="I520" s="110"/>
    </row>
    <row r="521" spans="1:14" ht="15.75" x14ac:dyDescent="0.25">
      <c r="G521" s="109"/>
      <c r="H521" s="110"/>
      <c r="I521" s="110"/>
    </row>
    <row r="522" spans="1:14" ht="15.75" x14ac:dyDescent="0.25">
      <c r="G522" s="109"/>
      <c r="H522" s="110"/>
      <c r="I522" s="110"/>
    </row>
    <row r="523" spans="1:14" ht="15.75" x14ac:dyDescent="0.25">
      <c r="G523" s="109"/>
      <c r="H523" s="110"/>
      <c r="I523" s="110"/>
    </row>
    <row r="524" spans="1:14" ht="15.75" x14ac:dyDescent="0.25">
      <c r="G524" s="109"/>
      <c r="H524" s="110"/>
      <c r="I524" s="110"/>
    </row>
    <row r="525" spans="1:14" ht="15.75" x14ac:dyDescent="0.25">
      <c r="G525" s="109"/>
      <c r="H525" s="110"/>
      <c r="I525" s="110"/>
    </row>
    <row r="526" spans="1:14" ht="15.75" x14ac:dyDescent="0.25">
      <c r="G526" s="109"/>
      <c r="H526" s="110"/>
      <c r="I526" s="110"/>
    </row>
    <row r="527" spans="1:14" ht="15.75" x14ac:dyDescent="0.25">
      <c r="G527" s="109"/>
      <c r="H527" s="110"/>
      <c r="I527" s="110"/>
    </row>
    <row r="528" spans="1:14" ht="15.75" x14ac:dyDescent="0.25">
      <c r="G528" s="109"/>
      <c r="H528" s="110"/>
      <c r="I528" s="110"/>
    </row>
    <row r="529" spans="7:9" ht="15.75" x14ac:dyDescent="0.25">
      <c r="G529" s="109"/>
      <c r="H529" s="110"/>
      <c r="I529" s="110"/>
    </row>
    <row r="530" spans="7:9" ht="15.75" x14ac:dyDescent="0.25">
      <c r="G530" s="109"/>
      <c r="H530" s="110"/>
      <c r="I530" s="110"/>
    </row>
    <row r="531" spans="7:9" ht="15.75" x14ac:dyDescent="0.25">
      <c r="G531" s="109"/>
      <c r="H531" s="110"/>
      <c r="I531" s="110"/>
    </row>
    <row r="532" spans="7:9" ht="15.75" x14ac:dyDescent="0.25">
      <c r="G532" s="109"/>
      <c r="H532" s="110"/>
      <c r="I532" s="110"/>
    </row>
    <row r="533" spans="7:9" ht="15.75" x14ac:dyDescent="0.25">
      <c r="G533" s="109"/>
      <c r="H533" s="110"/>
      <c r="I533" s="110"/>
    </row>
    <row r="534" spans="7:9" ht="15.75" x14ac:dyDescent="0.25">
      <c r="G534" s="109"/>
      <c r="H534" s="110"/>
      <c r="I534" s="110"/>
    </row>
    <row r="535" spans="7:9" ht="15.75" x14ac:dyDescent="0.25">
      <c r="G535" s="109"/>
      <c r="H535" s="110"/>
      <c r="I535" s="110"/>
    </row>
    <row r="536" spans="7:9" ht="15.75" x14ac:dyDescent="0.25">
      <c r="G536" s="109"/>
      <c r="H536" s="110"/>
      <c r="I536" s="110"/>
    </row>
    <row r="537" spans="7:9" ht="15.75" x14ac:dyDescent="0.25">
      <c r="G537" s="109"/>
      <c r="H537" s="110"/>
      <c r="I537" s="110"/>
    </row>
    <row r="538" spans="7:9" ht="15.75" x14ac:dyDescent="0.25">
      <c r="G538" s="109"/>
      <c r="H538" s="110"/>
      <c r="I538" s="110"/>
    </row>
    <row r="539" spans="7:9" ht="15.75" x14ac:dyDescent="0.25">
      <c r="G539" s="109"/>
      <c r="H539" s="110"/>
      <c r="I539" s="110"/>
    </row>
    <row r="540" spans="7:9" ht="15.75" x14ac:dyDescent="0.25">
      <c r="G540" s="109"/>
      <c r="H540" s="110"/>
      <c r="I540" s="110"/>
    </row>
    <row r="541" spans="7:9" ht="15.75" x14ac:dyDescent="0.25">
      <c r="G541" s="109"/>
      <c r="H541" s="110"/>
      <c r="I541" s="110"/>
    </row>
    <row r="542" spans="7:9" ht="15.75" x14ac:dyDescent="0.25">
      <c r="G542" s="109"/>
      <c r="H542" s="110"/>
      <c r="I542" s="110"/>
    </row>
    <row r="543" spans="7:9" ht="15.75" x14ac:dyDescent="0.25">
      <c r="G543" s="109"/>
      <c r="H543" s="110"/>
      <c r="I543" s="110"/>
    </row>
    <row r="544" spans="7:9" ht="15.75" x14ac:dyDescent="0.25">
      <c r="G544" s="109"/>
      <c r="H544" s="110"/>
      <c r="I544" s="110"/>
    </row>
    <row r="545" spans="7:9" ht="15.75" x14ac:dyDescent="0.25">
      <c r="G545" s="109"/>
      <c r="H545" s="110"/>
      <c r="I545" s="110"/>
    </row>
    <row r="546" spans="7:9" ht="15.75" x14ac:dyDescent="0.25">
      <c r="G546" s="109"/>
      <c r="H546" s="110"/>
      <c r="I546" s="110"/>
    </row>
    <row r="547" spans="7:9" ht="15.75" x14ac:dyDescent="0.25">
      <c r="G547" s="109"/>
      <c r="H547" s="110"/>
      <c r="I547" s="110"/>
    </row>
    <row r="548" spans="7:9" ht="15.75" x14ac:dyDescent="0.25">
      <c r="G548" s="109"/>
      <c r="H548" s="110"/>
      <c r="I548" s="110"/>
    </row>
    <row r="549" spans="7:9" ht="15.75" x14ac:dyDescent="0.25">
      <c r="G549" s="109"/>
      <c r="H549" s="110"/>
      <c r="I549" s="110"/>
    </row>
    <row r="550" spans="7:9" ht="15.75" x14ac:dyDescent="0.25">
      <c r="G550" s="109"/>
      <c r="H550" s="110"/>
      <c r="I550" s="110"/>
    </row>
    <row r="551" spans="7:9" ht="15.75" x14ac:dyDescent="0.25">
      <c r="G551" s="109"/>
      <c r="H551" s="110"/>
      <c r="I551" s="110"/>
    </row>
    <row r="552" spans="7:9" ht="15.75" x14ac:dyDescent="0.25">
      <c r="G552" s="109"/>
      <c r="H552" s="110"/>
      <c r="I552" s="110"/>
    </row>
    <row r="553" spans="7:9" ht="15.75" x14ac:dyDescent="0.25">
      <c r="G553" s="109"/>
      <c r="H553" s="110"/>
      <c r="I553" s="110"/>
    </row>
    <row r="554" spans="7:9" ht="15.75" x14ac:dyDescent="0.25">
      <c r="G554" s="109"/>
      <c r="H554" s="110"/>
      <c r="I554" s="110"/>
    </row>
    <row r="555" spans="7:9" ht="15.75" x14ac:dyDescent="0.25">
      <c r="G555" s="109"/>
      <c r="H555" s="110"/>
      <c r="I555" s="110"/>
    </row>
    <row r="556" spans="7:9" ht="15.75" x14ac:dyDescent="0.25">
      <c r="G556" s="109"/>
      <c r="H556" s="110"/>
      <c r="I556" s="110"/>
    </row>
    <row r="557" spans="7:9" ht="15.75" x14ac:dyDescent="0.25">
      <c r="G557" s="109"/>
      <c r="H557" s="110"/>
      <c r="I557" s="110"/>
    </row>
    <row r="558" spans="7:9" ht="15.75" x14ac:dyDescent="0.25">
      <c r="G558" s="109"/>
      <c r="H558" s="110"/>
      <c r="I558" s="110"/>
    </row>
    <row r="559" spans="7:9" ht="15.75" x14ac:dyDescent="0.25">
      <c r="G559" s="109"/>
      <c r="H559" s="110"/>
      <c r="I559" s="110"/>
    </row>
    <row r="560" spans="7:9" ht="15.75" x14ac:dyDescent="0.25">
      <c r="G560" s="109"/>
      <c r="H560" s="110"/>
      <c r="I560" s="110"/>
    </row>
    <row r="561" spans="7:9" ht="15.75" x14ac:dyDescent="0.25">
      <c r="G561" s="109"/>
      <c r="H561" s="110"/>
      <c r="I561" s="110"/>
    </row>
    <row r="562" spans="7:9" ht="15.75" x14ac:dyDescent="0.25">
      <c r="G562" s="109"/>
      <c r="H562" s="110"/>
      <c r="I562" s="110"/>
    </row>
    <row r="563" spans="7:9" ht="15.75" x14ac:dyDescent="0.25">
      <c r="G563" s="109"/>
      <c r="H563" s="110"/>
      <c r="I563" s="110"/>
    </row>
    <row r="564" spans="7:9" ht="15.75" x14ac:dyDescent="0.25">
      <c r="G564" s="109"/>
      <c r="H564" s="110"/>
      <c r="I564" s="110"/>
    </row>
    <row r="565" spans="7:9" ht="15.75" x14ac:dyDescent="0.25">
      <c r="G565" s="109"/>
      <c r="H565" s="110"/>
      <c r="I565" s="110"/>
    </row>
    <row r="566" spans="7:9" ht="15.75" x14ac:dyDescent="0.25">
      <c r="G566" s="109"/>
      <c r="H566" s="110"/>
      <c r="I566" s="110"/>
    </row>
    <row r="567" spans="7:9" ht="15.75" x14ac:dyDescent="0.25">
      <c r="G567" s="109"/>
      <c r="H567" s="110"/>
      <c r="I567" s="110"/>
    </row>
    <row r="568" spans="7:9" ht="15.75" x14ac:dyDescent="0.25">
      <c r="G568" s="109"/>
      <c r="H568" s="110"/>
      <c r="I568" s="110"/>
    </row>
    <row r="569" spans="7:9" ht="15.75" x14ac:dyDescent="0.25">
      <c r="G569" s="109"/>
      <c r="H569" s="110"/>
      <c r="I569" s="110"/>
    </row>
    <row r="570" spans="7:9" ht="15.75" x14ac:dyDescent="0.25">
      <c r="G570" s="109"/>
      <c r="H570" s="110"/>
      <c r="I570" s="110"/>
    </row>
    <row r="571" spans="7:9" ht="15.75" x14ac:dyDescent="0.25">
      <c r="G571" s="109"/>
      <c r="H571" s="110"/>
      <c r="I571" s="110"/>
    </row>
    <row r="572" spans="7:9" ht="15.75" x14ac:dyDescent="0.25">
      <c r="G572" s="109"/>
      <c r="H572" s="110"/>
      <c r="I572" s="110"/>
    </row>
    <row r="573" spans="7:9" ht="15.75" x14ac:dyDescent="0.25">
      <c r="G573" s="109"/>
      <c r="H573" s="110"/>
      <c r="I573" s="110"/>
    </row>
    <row r="574" spans="7:9" ht="15.75" x14ac:dyDescent="0.25">
      <c r="G574" s="109"/>
      <c r="H574" s="110"/>
      <c r="I574" s="110"/>
    </row>
    <row r="575" spans="7:9" ht="15.75" x14ac:dyDescent="0.25">
      <c r="G575" s="109"/>
      <c r="H575" s="110"/>
      <c r="I575" s="110"/>
    </row>
    <row r="576" spans="7:9" ht="15.75" x14ac:dyDescent="0.25">
      <c r="G576" s="109"/>
      <c r="H576" s="110"/>
      <c r="I576" s="110"/>
    </row>
    <row r="577" spans="7:9" ht="15.75" x14ac:dyDescent="0.25">
      <c r="G577" s="109"/>
      <c r="H577" s="110"/>
      <c r="I577" s="110"/>
    </row>
    <row r="578" spans="7:9" ht="15.75" x14ac:dyDescent="0.25">
      <c r="G578" s="109"/>
      <c r="H578" s="110"/>
      <c r="I578" s="110"/>
    </row>
    <row r="579" spans="7:9" ht="15.75" x14ac:dyDescent="0.25">
      <c r="G579" s="109"/>
      <c r="H579" s="110"/>
      <c r="I579" s="110"/>
    </row>
    <row r="580" spans="7:9" ht="15.75" x14ac:dyDescent="0.25">
      <c r="G580" s="109"/>
      <c r="H580" s="110"/>
      <c r="I580" s="110"/>
    </row>
    <row r="581" spans="7:9" ht="15.75" x14ac:dyDescent="0.25">
      <c r="G581" s="109"/>
      <c r="H581" s="110"/>
      <c r="I581" s="110"/>
    </row>
    <row r="582" spans="7:9" ht="15.75" x14ac:dyDescent="0.25">
      <c r="G582" s="109"/>
      <c r="H582" s="110"/>
      <c r="I582" s="110"/>
    </row>
    <row r="583" spans="7:9" ht="15.75" x14ac:dyDescent="0.25">
      <c r="G583" s="109"/>
      <c r="H583" s="110"/>
      <c r="I583" s="110"/>
    </row>
    <row r="584" spans="7:9" ht="15.75" x14ac:dyDescent="0.25">
      <c r="G584" s="109"/>
      <c r="H584" s="110"/>
      <c r="I584" s="110"/>
    </row>
  </sheetData>
  <sheetProtection algorithmName="SHA-512" hashValue="nwc7c5QYpSiei08AHg/EBXfnMdNTsHEqURDOtP1NW2aqboMz6U0ep682IAt5udBUSClufpDY0ilJ28y+svt6Bw==" saltValue="QE0JMfqOZ5v+o3IdoQ6nYg==" spinCount="100000" sheet="1" objects="1" scenarios="1"/>
  <mergeCells count="26">
    <mergeCell ref="A13:N13"/>
    <mergeCell ref="A10:N10"/>
    <mergeCell ref="A12:N12"/>
    <mergeCell ref="D11:N11"/>
    <mergeCell ref="M6:N6"/>
    <mergeCell ref="M7:N7"/>
    <mergeCell ref="M8:N8"/>
    <mergeCell ref="M9:N9"/>
    <mergeCell ref="I9:L9"/>
    <mergeCell ref="G9:H9"/>
    <mergeCell ref="A9:D9"/>
    <mergeCell ref="E9:F9"/>
    <mergeCell ref="A2:N2"/>
    <mergeCell ref="A3:N3"/>
    <mergeCell ref="A4:N4"/>
    <mergeCell ref="E7:H8"/>
    <mergeCell ref="I5:L5"/>
    <mergeCell ref="I6:L6"/>
    <mergeCell ref="I7:L7"/>
    <mergeCell ref="I8:L8"/>
    <mergeCell ref="M5:N5"/>
    <mergeCell ref="E5:H5"/>
    <mergeCell ref="E6:H6"/>
    <mergeCell ref="A6:D6"/>
    <mergeCell ref="A7:D8"/>
    <mergeCell ref="A5:D5"/>
  </mergeCells>
  <conditionalFormatting sqref="B35:D514">
    <cfRule type="expression" dxfId="57" priority="466">
      <formula>$L35="YES"</formula>
    </cfRule>
  </conditionalFormatting>
  <conditionalFormatting sqref="B15:I34">
    <cfRule type="expression" dxfId="56" priority="1867">
      <formula>$L15="YES"</formula>
    </cfRule>
  </conditionalFormatting>
  <conditionalFormatting sqref="E65:F514">
    <cfRule type="expression" dxfId="55" priority="1">
      <formula>$L65="YES"</formula>
    </cfRule>
  </conditionalFormatting>
  <conditionalFormatting sqref="E35:I64">
    <cfRule type="expression" dxfId="54" priority="1837">
      <formula>$L35="YES"</formula>
    </cfRule>
  </conditionalFormatting>
  <conditionalFormatting sqref="G65:I584">
    <cfRule type="expression" dxfId="53" priority="1387">
      <formula>$L65="YES"</formula>
    </cfRule>
  </conditionalFormatting>
  <conditionalFormatting sqref="J15:K514">
    <cfRule type="expression" dxfId="52" priority="1186">
      <formula>$J15="Other (Specify) "</formula>
    </cfRule>
  </conditionalFormatting>
  <conditionalFormatting sqref="L15:N514">
    <cfRule type="expression" dxfId="51" priority="226">
      <formula>$L15="YES"</formula>
    </cfRule>
  </conditionalFormatting>
  <dataValidations count="4">
    <dataValidation allowBlank="1" showInputMessage="1" showErrorMessage="1" prompt="Use a number, Do NOT use an alphabet." sqref="F15:F514" xr:uid="{00000000-0002-0000-0300-000000000000}"/>
    <dataValidation allowBlank="1" showInputMessage="1" showErrorMessage="1" prompt="Note Section for Column J " sqref="K15:K514" xr:uid="{00000000-0002-0000-0300-000001000000}"/>
    <dataValidation type="date" allowBlank="1" showInputMessage="1" showErrorMessage="1" prompt="Use MM/DD/YYYY format.  Leave blank until date is needed. " sqref="D15:D514" xr:uid="{00000000-0002-0000-0300-000002000000}">
      <formula1>36526</formula1>
      <formula2>47848</formula2>
    </dataValidation>
    <dataValidation type="date" allowBlank="1" showInputMessage="1" showErrorMessage="1" prompt="Use MM/DD/YYYY format " sqref="M16:M514 M15" xr:uid="{00000000-0002-0000-0300-000003000000}">
      <formula1>36708</formula1>
      <formula2>47848</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300-000004000000}">
          <x14:formula1>
            <xm:f>'drop down list '!$A$3:$A$4</xm:f>
          </x14:formula1>
          <xm:sqref>L15:L514</xm:sqref>
        </x14:dataValidation>
        <x14:dataValidation type="list" allowBlank="1" showInputMessage="1" showErrorMessage="1" xr:uid="{00000000-0002-0000-0300-000005000000}">
          <x14:formula1>
            <xm:f>'drop down list '!$N$12:$N$23</xm:f>
          </x14:formula1>
          <xm:sqref>E9:F9</xm:sqref>
        </x14:dataValidation>
        <x14:dataValidation type="list" allowBlank="1" showInputMessage="1" showErrorMessage="1" xr:uid="{00000000-0002-0000-0300-000006000000}">
          <x14:formula1>
            <xm:f>'drop down list '!$P$15:$P$27</xm:f>
          </x14:formula1>
          <xm:sqref>G9:H9</xm:sqref>
        </x14:dataValidation>
        <x14:dataValidation type="list" allowBlank="1" showInputMessage="1" showErrorMessage="1" xr:uid="{00000000-0002-0000-0300-000007000000}">
          <x14:formula1>
            <xm:f>'drop down list '!$F$2:$F$4</xm:f>
          </x14:formula1>
          <xm:sqref>G15:G514</xm:sqref>
        </x14:dataValidation>
        <x14:dataValidation type="list" allowBlank="1" showInputMessage="1" showErrorMessage="1" xr:uid="{00000000-0002-0000-0300-000008000000}">
          <x14:formula1>
            <xm:f>'drop down list '!$R$2:$R$8</xm:f>
          </x14:formula1>
          <xm:sqref>H15:H514</xm:sqref>
        </x14:dataValidation>
        <x14:dataValidation type="list" allowBlank="1" showInputMessage="1" showErrorMessage="1" xr:uid="{00000000-0002-0000-0300-000009000000}">
          <x14:formula1>
            <xm:f>'drop down list '!$R$11:$R$13</xm:f>
          </x14:formula1>
          <xm:sqref>I15:I514</xm:sqref>
        </x14:dataValidation>
        <x14:dataValidation type="list" allowBlank="1" showInputMessage="1" showErrorMessage="1" xr:uid="{00000000-0002-0000-0300-00000A000000}">
          <x14:formula1>
            <xm:f>'drop down list '!$C$2:$C$4</xm:f>
          </x14:formula1>
          <xm:sqref>J15:J514</xm:sqref>
        </x14:dataValidation>
        <x14:dataValidation type="list" allowBlank="1" showInputMessage="1" showErrorMessage="1" xr:uid="{00000000-0002-0000-0300-00000B000000}">
          <x14:formula1>
            <xm:f>'drop down list '!$D$2:$D$4</xm:f>
          </x14:formula1>
          <xm:sqref>E15:E514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Y515"/>
  <sheetViews>
    <sheetView zoomScale="110" zoomScaleNormal="110" workbookViewId="0">
      <pane ySplit="1" topLeftCell="A2" activePane="bottomLeft" state="frozen"/>
      <selection pane="bottomLeft" activeCell="P17" sqref="P17"/>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26</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ht="39.950000000000003" customHeight="1" x14ac:dyDescent="0.25">
      <c r="A12" s="487" t="s">
        <v>358</v>
      </c>
      <c r="B12" s="488"/>
      <c r="C12" s="488"/>
      <c r="D12" s="488"/>
      <c r="E12" s="488"/>
      <c r="F12" s="488"/>
      <c r="G12" s="488"/>
      <c r="H12" s="488"/>
      <c r="I12" s="488"/>
      <c r="J12" s="488"/>
      <c r="K12" s="488"/>
      <c r="L12" s="488"/>
      <c r="M12" s="488"/>
      <c r="N12" s="488"/>
      <c r="O12" s="488"/>
      <c r="P12" s="488"/>
      <c r="Q12" s="488"/>
      <c r="R12" s="488"/>
      <c r="S12" s="488"/>
      <c r="T12" s="488"/>
      <c r="U12" s="488"/>
      <c r="V12" s="488"/>
      <c r="W12" s="488"/>
      <c r="X12" s="488"/>
      <c r="Y12" s="488"/>
    </row>
    <row r="13" spans="1:25" x14ac:dyDescent="0.25">
      <c r="A13" s="15" t="s">
        <v>24</v>
      </c>
      <c r="B13" s="15"/>
      <c r="C13" s="15"/>
      <c r="D13" s="15"/>
      <c r="E13" s="15"/>
      <c r="F13" s="15"/>
      <c r="G13" s="15"/>
      <c r="H13" s="15"/>
      <c r="I13" s="15"/>
      <c r="J13" s="15"/>
      <c r="K13" s="15"/>
      <c r="L13" s="15"/>
      <c r="M13" s="15"/>
      <c r="N13" s="15"/>
      <c r="O13" s="15"/>
      <c r="P13" s="15"/>
      <c r="Q13" s="15"/>
      <c r="R13" s="15"/>
      <c r="S13" s="15"/>
      <c r="T13" s="15"/>
      <c r="U13" s="15"/>
      <c r="V13" s="15"/>
      <c r="W13" s="15"/>
      <c r="Y13" s="129"/>
    </row>
    <row r="14" spans="1:25" ht="29.25" x14ac:dyDescent="0.25">
      <c r="A14" s="459" t="s">
        <v>23</v>
      </c>
      <c r="B14" s="466" t="s">
        <v>22</v>
      </c>
      <c r="C14" s="468" t="s">
        <v>21</v>
      </c>
      <c r="D14" s="470" t="s">
        <v>20</v>
      </c>
      <c r="E14" s="46" t="s">
        <v>102</v>
      </c>
      <c r="F14" s="47" t="s">
        <v>103</v>
      </c>
      <c r="G14" s="472" t="s">
        <v>19</v>
      </c>
      <c r="H14" s="496" t="s">
        <v>106</v>
      </c>
      <c r="I14" s="494" t="s">
        <v>105</v>
      </c>
      <c r="J14" s="14" t="s">
        <v>17</v>
      </c>
      <c r="K14" s="140" t="s">
        <v>16</v>
      </c>
      <c r="L14" s="474" t="s">
        <v>15</v>
      </c>
      <c r="M14" s="482" t="s">
        <v>14</v>
      </c>
      <c r="N14" s="483"/>
      <c r="O14" s="485" t="s">
        <v>353</v>
      </c>
      <c r="P14" s="485" t="s">
        <v>354</v>
      </c>
      <c r="Q14" s="476" t="s">
        <v>13</v>
      </c>
      <c r="R14" s="478" t="s">
        <v>12</v>
      </c>
      <c r="S14" s="480" t="s">
        <v>11</v>
      </c>
      <c r="T14" s="452" t="s">
        <v>10</v>
      </c>
      <c r="U14" s="464" t="s">
        <v>9</v>
      </c>
      <c r="V14" s="462" t="s">
        <v>8</v>
      </c>
      <c r="W14" s="489" t="s">
        <v>7</v>
      </c>
      <c r="Y14" s="449" t="s">
        <v>118</v>
      </c>
    </row>
    <row r="15" spans="1:25" ht="22.5" x14ac:dyDescent="0.25">
      <c r="A15" s="460"/>
      <c r="B15" s="467"/>
      <c r="C15" s="469"/>
      <c r="D15" s="471"/>
      <c r="E15" s="48" t="s">
        <v>6</v>
      </c>
      <c r="F15" s="49" t="s">
        <v>5</v>
      </c>
      <c r="G15" s="473"/>
      <c r="H15" s="497"/>
      <c r="I15" s="495"/>
      <c r="J15" s="13" t="s">
        <v>4</v>
      </c>
      <c r="K15" s="72" t="s">
        <v>3</v>
      </c>
      <c r="L15" s="475"/>
      <c r="M15" s="12" t="s">
        <v>2</v>
      </c>
      <c r="N15" s="11" t="s">
        <v>1</v>
      </c>
      <c r="O15" s="486"/>
      <c r="P15" s="486"/>
      <c r="Q15" s="477"/>
      <c r="R15" s="479"/>
      <c r="S15" s="481"/>
      <c r="T15" s="453"/>
      <c r="U15" s="465"/>
      <c r="V15" s="463"/>
      <c r="W15" s="490"/>
      <c r="Y15" s="449"/>
    </row>
    <row r="16" spans="1:25" ht="50.1" customHeight="1" x14ac:dyDescent="0.25">
      <c r="A16" s="5">
        <v>1</v>
      </c>
      <c r="B16" s="10">
        <f>'CLIENT ENROLLMENT DISCHARGE '!B15</f>
        <v>0</v>
      </c>
      <c r="C16" s="4">
        <f>'CLIENT ENROLLMENT DISCHARGE '!C15</f>
        <v>0</v>
      </c>
      <c r="D16" s="51"/>
      <c r="E16" s="52"/>
      <c r="F16" s="51"/>
      <c r="G16" s="52"/>
      <c r="H16" s="62"/>
      <c r="I16" s="115"/>
      <c r="J16" s="143"/>
      <c r="K16" s="70"/>
      <c r="L16" s="52"/>
      <c r="M16" s="8"/>
      <c r="N16" s="7"/>
      <c r="O16" s="218">
        <f>K16*N16</f>
        <v>0</v>
      </c>
      <c r="P16" s="218">
        <f>O16</f>
        <v>0</v>
      </c>
      <c r="Q16" s="59"/>
      <c r="R16" s="51"/>
      <c r="S16" s="65"/>
      <c r="T16" s="64"/>
      <c r="U16" s="67"/>
      <c r="V16" s="74"/>
      <c r="W16" s="6">
        <f>'CLIENT ENROLLMENT DISCHARGE '!M15</f>
        <v>0</v>
      </c>
      <c r="X16" s="76">
        <f>'CLIENT ENROLLMENT DISCHARGE '!L15</f>
        <v>0</v>
      </c>
      <c r="Y16" s="180"/>
    </row>
    <row r="17" spans="1:25" ht="50.1" customHeight="1" x14ac:dyDescent="0.25">
      <c r="A17" s="5">
        <v>2</v>
      </c>
      <c r="B17" s="10">
        <f>'CLIENT ENROLLMENT DISCHARGE '!B16</f>
        <v>0</v>
      </c>
      <c r="C17" s="4">
        <f>'CLIENT ENROLLMENT DISCHARGE '!C16</f>
        <v>0</v>
      </c>
      <c r="D17" s="52"/>
      <c r="E17" s="53"/>
      <c r="F17" s="52"/>
      <c r="G17" s="53"/>
      <c r="H17" s="63"/>
      <c r="I17" s="116"/>
      <c r="J17" s="144"/>
      <c r="K17" s="71"/>
      <c r="L17" s="53"/>
      <c r="M17" s="2"/>
      <c r="N17" s="1"/>
      <c r="O17" s="218">
        <f t="shared" ref="O17:O80" si="0">K17*N17</f>
        <v>0</v>
      </c>
      <c r="P17" s="218">
        <f t="shared" ref="P17:P80" si="1">O17</f>
        <v>0</v>
      </c>
      <c r="Q17" s="60"/>
      <c r="R17" s="52"/>
      <c r="S17" s="66"/>
      <c r="T17" s="65"/>
      <c r="U17" s="68"/>
      <c r="V17" s="59"/>
      <c r="W17" s="6">
        <f>'CLIENT ENROLLMENT DISCHARGE '!M16</f>
        <v>0</v>
      </c>
      <c r="X17" s="76">
        <f>'CLIENT ENROLLMENT DISCHARGE '!L16</f>
        <v>0</v>
      </c>
      <c r="Y17" s="180"/>
    </row>
    <row r="18" spans="1:25" ht="50.1" customHeight="1" x14ac:dyDescent="0.25">
      <c r="A18" s="5">
        <v>3</v>
      </c>
      <c r="B18" s="10">
        <f>'CLIENT ENROLLMENT DISCHARGE '!B17</f>
        <v>0</v>
      </c>
      <c r="C18" s="4">
        <f>'CLIENT ENROLLMENT DISCHARGE '!C17</f>
        <v>0</v>
      </c>
      <c r="D18" s="51"/>
      <c r="E18" s="52"/>
      <c r="F18" s="51"/>
      <c r="G18" s="52"/>
      <c r="H18" s="62"/>
      <c r="I18" s="115"/>
      <c r="J18" s="143"/>
      <c r="K18" s="70"/>
      <c r="L18" s="52"/>
      <c r="M18" s="8"/>
      <c r="N18" s="7"/>
      <c r="O18" s="218">
        <f t="shared" si="0"/>
        <v>0</v>
      </c>
      <c r="P18" s="218">
        <f t="shared" si="1"/>
        <v>0</v>
      </c>
      <c r="Q18" s="59"/>
      <c r="R18" s="51"/>
      <c r="S18" s="65"/>
      <c r="T18" s="64"/>
      <c r="U18" s="67"/>
      <c r="V18" s="74"/>
      <c r="W18" s="6">
        <f>'CLIENT ENROLLMENT DISCHARGE '!M17</f>
        <v>0</v>
      </c>
      <c r="X18" s="76">
        <f>'CLIENT ENROLLMENT DISCHARGE '!L17</f>
        <v>0</v>
      </c>
      <c r="Y18" s="180"/>
    </row>
    <row r="19" spans="1:25" ht="50.1" customHeight="1" x14ac:dyDescent="0.25">
      <c r="A19" s="5">
        <v>4</v>
      </c>
      <c r="B19" s="10">
        <f>'CLIENT ENROLLMENT DISCHARGE '!B18</f>
        <v>0</v>
      </c>
      <c r="C19" s="4">
        <f>'CLIENT ENROLLMENT DISCHARGE '!C18</f>
        <v>0</v>
      </c>
      <c r="D19" s="52"/>
      <c r="E19" s="53"/>
      <c r="F19" s="52"/>
      <c r="G19" s="53"/>
      <c r="H19" s="63"/>
      <c r="I19" s="116"/>
      <c r="J19" s="144"/>
      <c r="K19" s="71"/>
      <c r="L19" s="53"/>
      <c r="M19" s="2"/>
      <c r="N19" s="1"/>
      <c r="O19" s="218">
        <f t="shared" si="0"/>
        <v>0</v>
      </c>
      <c r="P19" s="218">
        <f t="shared" si="1"/>
        <v>0</v>
      </c>
      <c r="Q19" s="60"/>
      <c r="R19" s="52" t="s">
        <v>43</v>
      </c>
      <c r="S19" s="66" t="s">
        <v>341</v>
      </c>
      <c r="T19" s="65" t="s">
        <v>342</v>
      </c>
      <c r="U19" s="68" t="s">
        <v>98</v>
      </c>
      <c r="V19" s="59" t="s">
        <v>82</v>
      </c>
      <c r="W19" s="6">
        <f>'CLIENT ENROLLMENT DISCHARGE '!M18</f>
        <v>0</v>
      </c>
      <c r="X19" s="76">
        <f>'CLIENT ENROLLMENT DISCHARGE '!L18</f>
        <v>0</v>
      </c>
      <c r="Y19" s="180"/>
    </row>
    <row r="20" spans="1:25" ht="50.1" customHeight="1" x14ac:dyDescent="0.25">
      <c r="A20" s="5">
        <v>5</v>
      </c>
      <c r="B20" s="10">
        <f>'CLIENT ENROLLMENT DISCHARGE '!B19</f>
        <v>0</v>
      </c>
      <c r="C20" s="4">
        <f>'CLIENT ENROLLMENT DISCHARGE '!C19</f>
        <v>0</v>
      </c>
      <c r="D20" s="51"/>
      <c r="E20" s="52"/>
      <c r="F20" s="51"/>
      <c r="G20" s="52"/>
      <c r="H20" s="62"/>
      <c r="I20" s="115"/>
      <c r="J20" s="143"/>
      <c r="K20" s="70"/>
      <c r="L20" s="52"/>
      <c r="M20" s="8"/>
      <c r="N20" s="7"/>
      <c r="O20" s="218">
        <f t="shared" si="0"/>
        <v>0</v>
      </c>
      <c r="P20" s="218">
        <f t="shared" si="1"/>
        <v>0</v>
      </c>
      <c r="Q20" s="59" t="s">
        <v>88</v>
      </c>
      <c r="R20" s="51" t="s">
        <v>43</v>
      </c>
      <c r="S20" s="65" t="s">
        <v>343</v>
      </c>
      <c r="T20" s="64" t="s">
        <v>344</v>
      </c>
      <c r="U20" s="67" t="s">
        <v>98</v>
      </c>
      <c r="V20" s="74" t="s">
        <v>82</v>
      </c>
      <c r="W20" s="6">
        <f>'CLIENT ENROLLMENT DISCHARGE '!M19</f>
        <v>0</v>
      </c>
      <c r="X20" s="76">
        <f>'CLIENT ENROLLMENT DISCHARGE '!L19</f>
        <v>0</v>
      </c>
      <c r="Y20" s="180"/>
    </row>
    <row r="21" spans="1:25" ht="50.1" customHeight="1" x14ac:dyDescent="0.25">
      <c r="A21" s="5">
        <v>6</v>
      </c>
      <c r="B21" s="10">
        <f>'CLIENT ENROLLMENT DISCHARGE '!B20</f>
        <v>0</v>
      </c>
      <c r="C21" s="4">
        <f>'CLIENT ENROLLMENT DISCHARGE '!C20</f>
        <v>0</v>
      </c>
      <c r="D21" s="52"/>
      <c r="E21" s="53"/>
      <c r="F21" s="52"/>
      <c r="G21" s="53"/>
      <c r="H21" s="63"/>
      <c r="I21" s="116"/>
      <c r="J21" s="3"/>
      <c r="K21" s="71"/>
      <c r="L21" s="53"/>
      <c r="M21" s="2"/>
      <c r="N21" s="1"/>
      <c r="O21" s="218">
        <f t="shared" si="0"/>
        <v>0</v>
      </c>
      <c r="P21" s="218">
        <f t="shared" si="1"/>
        <v>0</v>
      </c>
      <c r="Q21" s="60"/>
      <c r="R21" s="52"/>
      <c r="S21" s="66"/>
      <c r="T21" s="65"/>
      <c r="U21" s="68"/>
      <c r="V21" s="75"/>
      <c r="W21" s="6">
        <f>'CLIENT ENROLLMENT DISCHARGE '!M20</f>
        <v>0</v>
      </c>
      <c r="X21" s="76">
        <f>'CLIENT ENROLLMENT DISCHARGE '!L20</f>
        <v>0</v>
      </c>
      <c r="Y21" s="180"/>
    </row>
    <row r="22" spans="1:25" ht="50.1" customHeight="1" x14ac:dyDescent="0.25">
      <c r="A22" s="5">
        <v>7</v>
      </c>
      <c r="B22" s="10">
        <f>'CLIENT ENROLLMENT DISCHARGE '!B21</f>
        <v>0</v>
      </c>
      <c r="C22" s="4">
        <f>'CLIENT ENROLLMENT DISCHARGE '!C21</f>
        <v>0</v>
      </c>
      <c r="D22" s="51"/>
      <c r="E22" s="52"/>
      <c r="F22" s="51"/>
      <c r="G22" s="52"/>
      <c r="H22" s="62"/>
      <c r="I22" s="115"/>
      <c r="J22" s="143"/>
      <c r="K22" s="70"/>
      <c r="L22" s="52"/>
      <c r="M22" s="8"/>
      <c r="N22" s="7"/>
      <c r="O22" s="218">
        <f t="shared" si="0"/>
        <v>0</v>
      </c>
      <c r="P22" s="218">
        <f t="shared" si="1"/>
        <v>0</v>
      </c>
      <c r="Q22" s="59"/>
      <c r="R22" s="51"/>
      <c r="S22" s="65"/>
      <c r="T22" s="64"/>
      <c r="U22" s="67"/>
      <c r="V22" s="74"/>
      <c r="W22" s="6">
        <f>'CLIENT ENROLLMENT DISCHARGE '!M21</f>
        <v>0</v>
      </c>
      <c r="X22" s="76">
        <f>'CLIENT ENROLLMENT DISCHARGE '!L21</f>
        <v>0</v>
      </c>
      <c r="Y22" s="180"/>
    </row>
    <row r="23" spans="1:25" ht="50.1" customHeight="1" x14ac:dyDescent="0.25">
      <c r="A23" s="5">
        <v>8</v>
      </c>
      <c r="B23" s="10">
        <f>'CLIENT ENROLLMENT DISCHARGE '!B22</f>
        <v>0</v>
      </c>
      <c r="C23" s="4">
        <f>'CLIENT ENROLLMENT DISCHARGE '!C22</f>
        <v>0</v>
      </c>
      <c r="D23" s="52"/>
      <c r="E23" s="53"/>
      <c r="F23" s="52"/>
      <c r="G23" s="53"/>
      <c r="H23" s="63"/>
      <c r="I23" s="116"/>
      <c r="J23" s="144"/>
      <c r="K23" s="71"/>
      <c r="L23" s="53"/>
      <c r="M23" s="2"/>
      <c r="N23" s="1"/>
      <c r="O23" s="218">
        <f t="shared" si="0"/>
        <v>0</v>
      </c>
      <c r="P23" s="218">
        <f t="shared" si="1"/>
        <v>0</v>
      </c>
      <c r="Q23" s="60"/>
      <c r="R23" s="52"/>
      <c r="S23" s="66"/>
      <c r="T23" s="65"/>
      <c r="U23" s="68"/>
      <c r="V23" s="59"/>
      <c r="W23" s="6">
        <f>'CLIENT ENROLLMENT DISCHARGE '!M22</f>
        <v>0</v>
      </c>
      <c r="X23" s="76">
        <f>'CLIENT ENROLLMENT DISCHARGE '!L22</f>
        <v>0</v>
      </c>
      <c r="Y23" s="180"/>
    </row>
    <row r="24" spans="1:25" ht="50.1" customHeight="1" x14ac:dyDescent="0.25">
      <c r="A24" s="5">
        <v>9</v>
      </c>
      <c r="B24" s="10">
        <f>'CLIENT ENROLLMENT DISCHARGE '!B23</f>
        <v>0</v>
      </c>
      <c r="C24" s="4">
        <f>'CLIENT ENROLLMENT DISCHARGE '!C23</f>
        <v>0</v>
      </c>
      <c r="D24" s="51"/>
      <c r="E24" s="52"/>
      <c r="F24" s="51"/>
      <c r="G24" s="52"/>
      <c r="H24" s="62"/>
      <c r="I24" s="115"/>
      <c r="J24" s="143"/>
      <c r="K24" s="70"/>
      <c r="L24" s="52"/>
      <c r="M24" s="8"/>
      <c r="N24" s="7"/>
      <c r="O24" s="218">
        <f t="shared" si="0"/>
        <v>0</v>
      </c>
      <c r="P24" s="218">
        <f t="shared" si="1"/>
        <v>0</v>
      </c>
      <c r="Q24" s="59"/>
      <c r="R24" s="51"/>
      <c r="S24" s="65"/>
      <c r="T24" s="64"/>
      <c r="U24" s="67"/>
      <c r="V24" s="74"/>
      <c r="W24" s="6">
        <f>'CLIENT ENROLLMENT DISCHARGE '!M23</f>
        <v>0</v>
      </c>
      <c r="X24" s="76">
        <f>'CLIENT ENROLLMENT DISCHARGE '!L23</f>
        <v>0</v>
      </c>
      <c r="Y24" s="180"/>
    </row>
    <row r="25" spans="1:25" ht="50.1" customHeight="1" x14ac:dyDescent="0.25">
      <c r="A25" s="5">
        <v>10</v>
      </c>
      <c r="B25" s="10">
        <f>'CLIENT ENROLLMENT DISCHARGE '!B24</f>
        <v>0</v>
      </c>
      <c r="C25" s="4">
        <f>'CLIENT ENROLLMENT DISCHARGE '!C24</f>
        <v>0</v>
      </c>
      <c r="D25" s="52"/>
      <c r="E25" s="53"/>
      <c r="F25" s="52"/>
      <c r="G25" s="53"/>
      <c r="H25" s="63"/>
      <c r="I25" s="116"/>
      <c r="J25" s="144"/>
      <c r="K25" s="71"/>
      <c r="L25" s="53"/>
      <c r="M25" s="2"/>
      <c r="N25" s="1"/>
      <c r="O25" s="218">
        <f t="shared" si="0"/>
        <v>0</v>
      </c>
      <c r="P25" s="218">
        <f t="shared" si="1"/>
        <v>0</v>
      </c>
      <c r="Q25" s="60"/>
      <c r="R25" s="52"/>
      <c r="S25" s="66"/>
      <c r="T25" s="65"/>
      <c r="U25" s="68"/>
      <c r="V25" s="59"/>
      <c r="W25" s="6">
        <f>'CLIENT ENROLLMENT DISCHARGE '!M24</f>
        <v>0</v>
      </c>
      <c r="X25" s="76">
        <f>'CLIENT ENROLLMENT DISCHARGE '!L24</f>
        <v>0</v>
      </c>
      <c r="Y25" s="180"/>
    </row>
    <row r="26" spans="1:25" ht="50.1" customHeight="1" x14ac:dyDescent="0.25">
      <c r="A26" s="5">
        <v>11</v>
      </c>
      <c r="B26" s="10">
        <f>'CLIENT ENROLLMENT DISCHARGE '!B25</f>
        <v>0</v>
      </c>
      <c r="C26" s="4">
        <f>'CLIENT ENROLLMENT DISCHARGE '!C25</f>
        <v>0</v>
      </c>
      <c r="D26" s="51"/>
      <c r="E26" s="52"/>
      <c r="F26" s="51"/>
      <c r="G26" s="52"/>
      <c r="H26" s="62"/>
      <c r="I26" s="115"/>
      <c r="J26" s="143"/>
      <c r="K26" s="70"/>
      <c r="L26" s="52"/>
      <c r="M26" s="8"/>
      <c r="N26" s="7"/>
      <c r="O26" s="218">
        <f t="shared" si="0"/>
        <v>0</v>
      </c>
      <c r="P26" s="218">
        <f t="shared" si="1"/>
        <v>0</v>
      </c>
      <c r="Q26" s="59"/>
      <c r="R26" s="51"/>
      <c r="S26" s="65"/>
      <c r="T26" s="64"/>
      <c r="U26" s="67"/>
      <c r="V26" s="74"/>
      <c r="W26" s="6">
        <f>'CLIENT ENROLLMENT DISCHARGE '!M25</f>
        <v>0</v>
      </c>
      <c r="X26" s="76">
        <f>'CLIENT ENROLLMENT DISCHARGE '!L25</f>
        <v>0</v>
      </c>
      <c r="Y26" s="180"/>
    </row>
    <row r="27" spans="1:25" ht="50.1" customHeight="1" x14ac:dyDescent="0.25">
      <c r="A27" s="5">
        <v>12</v>
      </c>
      <c r="B27" s="10">
        <f>'CLIENT ENROLLMENT DISCHARGE '!B26</f>
        <v>0</v>
      </c>
      <c r="C27" s="4">
        <f>'CLIENT ENROLLMENT DISCHARGE '!C26</f>
        <v>0</v>
      </c>
      <c r="D27" s="52"/>
      <c r="E27" s="53"/>
      <c r="F27" s="52"/>
      <c r="G27" s="53"/>
      <c r="H27" s="63"/>
      <c r="I27" s="116"/>
      <c r="J27" s="144"/>
      <c r="K27" s="71"/>
      <c r="L27" s="53"/>
      <c r="M27" s="2"/>
      <c r="N27" s="1"/>
      <c r="O27" s="218">
        <f t="shared" si="0"/>
        <v>0</v>
      </c>
      <c r="P27" s="218">
        <f t="shared" si="1"/>
        <v>0</v>
      </c>
      <c r="Q27" s="60"/>
      <c r="R27" s="52"/>
      <c r="S27" s="66"/>
      <c r="T27" s="65"/>
      <c r="U27" s="68"/>
      <c r="V27" s="59"/>
      <c r="W27" s="6">
        <f>'CLIENT ENROLLMENT DISCHARGE '!M26</f>
        <v>0</v>
      </c>
      <c r="X27" s="76">
        <f>'CLIENT ENROLLMENT DISCHARGE '!L26</f>
        <v>0</v>
      </c>
      <c r="Y27" s="180"/>
    </row>
    <row r="28" spans="1:25" ht="50.1" customHeight="1" x14ac:dyDescent="0.25">
      <c r="A28" s="5">
        <v>13</v>
      </c>
      <c r="B28" s="10">
        <f>'CLIENT ENROLLMENT DISCHARGE '!B27</f>
        <v>0</v>
      </c>
      <c r="C28" s="4">
        <f>'CLIENT ENROLLMENT DISCHARGE '!C27</f>
        <v>0</v>
      </c>
      <c r="D28" s="51"/>
      <c r="E28" s="52"/>
      <c r="F28" s="51"/>
      <c r="G28" s="52"/>
      <c r="H28" s="62"/>
      <c r="I28" s="115"/>
      <c r="J28" s="143"/>
      <c r="K28" s="70"/>
      <c r="L28" s="52"/>
      <c r="M28" s="8"/>
      <c r="N28" s="7"/>
      <c r="O28" s="218">
        <f t="shared" si="0"/>
        <v>0</v>
      </c>
      <c r="P28" s="218">
        <f t="shared" si="1"/>
        <v>0</v>
      </c>
      <c r="Q28" s="59"/>
      <c r="R28" s="51"/>
      <c r="S28" s="65"/>
      <c r="T28" s="64"/>
      <c r="U28" s="67"/>
      <c r="V28" s="74"/>
      <c r="W28" s="6">
        <f>'CLIENT ENROLLMENT DISCHARGE '!M27</f>
        <v>0</v>
      </c>
      <c r="X28" s="76">
        <f>'CLIENT ENROLLMENT DISCHARGE '!L27</f>
        <v>0</v>
      </c>
      <c r="Y28" s="180"/>
    </row>
    <row r="29" spans="1:25" ht="50.1" customHeight="1" x14ac:dyDescent="0.25">
      <c r="A29" s="5">
        <v>14</v>
      </c>
      <c r="B29" s="10">
        <f>'CLIENT ENROLLMENT DISCHARGE '!B28</f>
        <v>0</v>
      </c>
      <c r="C29" s="4">
        <f>'CLIENT ENROLLMENT DISCHARGE '!C28</f>
        <v>0</v>
      </c>
      <c r="D29" s="52"/>
      <c r="E29" s="53"/>
      <c r="F29" s="52"/>
      <c r="G29" s="53"/>
      <c r="H29" s="63"/>
      <c r="I29" s="116"/>
      <c r="J29" s="144"/>
      <c r="K29" s="71"/>
      <c r="L29" s="53"/>
      <c r="M29" s="2"/>
      <c r="N29" s="1"/>
      <c r="O29" s="218">
        <f t="shared" si="0"/>
        <v>0</v>
      </c>
      <c r="P29" s="218">
        <f t="shared" si="1"/>
        <v>0</v>
      </c>
      <c r="Q29" s="60"/>
      <c r="R29" s="52"/>
      <c r="S29" s="66"/>
      <c r="T29" s="65"/>
      <c r="U29" s="68"/>
      <c r="V29" s="59"/>
      <c r="W29" s="6">
        <f>'CLIENT ENROLLMENT DISCHARGE '!M28</f>
        <v>0</v>
      </c>
      <c r="X29" s="76">
        <f>'CLIENT ENROLLMENT DISCHARGE '!L28</f>
        <v>0</v>
      </c>
      <c r="Y29" s="180"/>
    </row>
    <row r="30" spans="1:25" ht="50.1" customHeight="1" x14ac:dyDescent="0.25">
      <c r="A30" s="5">
        <v>15</v>
      </c>
      <c r="B30" s="10">
        <f>'CLIENT ENROLLMENT DISCHARGE '!B29</f>
        <v>0</v>
      </c>
      <c r="C30" s="4">
        <f>'CLIENT ENROLLMENT DISCHARGE '!C29</f>
        <v>0</v>
      </c>
      <c r="D30" s="51"/>
      <c r="E30" s="52"/>
      <c r="F30" s="51"/>
      <c r="G30" s="52"/>
      <c r="H30" s="62"/>
      <c r="I30" s="115"/>
      <c r="J30" s="143"/>
      <c r="K30" s="70"/>
      <c r="L30" s="52"/>
      <c r="M30" s="8"/>
      <c r="N30" s="7"/>
      <c r="O30" s="218">
        <f t="shared" si="0"/>
        <v>0</v>
      </c>
      <c r="P30" s="218">
        <f t="shared" si="1"/>
        <v>0</v>
      </c>
      <c r="Q30" s="59"/>
      <c r="R30" s="51"/>
      <c r="S30" s="65"/>
      <c r="T30" s="64"/>
      <c r="U30" s="67"/>
      <c r="V30" s="74"/>
      <c r="W30" s="6">
        <f>'CLIENT ENROLLMENT DISCHARGE '!M29</f>
        <v>0</v>
      </c>
      <c r="X30" s="76">
        <f>'CLIENT ENROLLMENT DISCHARGE '!L29</f>
        <v>0</v>
      </c>
      <c r="Y30" s="180"/>
    </row>
    <row r="31" spans="1:25" ht="50.1" customHeight="1" x14ac:dyDescent="0.25">
      <c r="A31" s="5">
        <v>16</v>
      </c>
      <c r="B31" s="10">
        <f>'CLIENT ENROLLMENT DISCHARGE '!B30</f>
        <v>0</v>
      </c>
      <c r="C31" s="4">
        <f>'CLIENT ENROLLMENT DISCHARGE '!C30</f>
        <v>0</v>
      </c>
      <c r="D31" s="52"/>
      <c r="E31" s="53"/>
      <c r="F31" s="52"/>
      <c r="G31" s="53"/>
      <c r="H31" s="63"/>
      <c r="I31" s="116"/>
      <c r="J31" s="144"/>
      <c r="K31" s="71"/>
      <c r="L31" s="53"/>
      <c r="M31" s="2"/>
      <c r="N31" s="1"/>
      <c r="O31" s="218">
        <f t="shared" si="0"/>
        <v>0</v>
      </c>
      <c r="P31" s="218">
        <f t="shared" si="1"/>
        <v>0</v>
      </c>
      <c r="Q31" s="60"/>
      <c r="R31" s="52"/>
      <c r="S31" s="66"/>
      <c r="T31" s="65"/>
      <c r="U31" s="68"/>
      <c r="V31" s="75"/>
      <c r="W31" s="6">
        <f>'CLIENT ENROLLMENT DISCHARGE '!M30</f>
        <v>0</v>
      </c>
      <c r="X31" s="76">
        <f>'CLIENT ENROLLMENT DISCHARGE '!L30</f>
        <v>0</v>
      </c>
      <c r="Y31" s="180"/>
    </row>
    <row r="32" spans="1:25" ht="50.1" customHeight="1" x14ac:dyDescent="0.25">
      <c r="A32" s="5">
        <v>17</v>
      </c>
      <c r="B32" s="10">
        <f>'CLIENT ENROLLMENT DISCHARGE '!B31</f>
        <v>0</v>
      </c>
      <c r="C32" s="4">
        <f>'CLIENT ENROLLMENT DISCHARGE '!C31</f>
        <v>0</v>
      </c>
      <c r="D32" s="51"/>
      <c r="E32" s="52"/>
      <c r="F32" s="51"/>
      <c r="G32" s="52"/>
      <c r="H32" s="62"/>
      <c r="I32" s="115"/>
      <c r="J32" s="143"/>
      <c r="K32" s="70"/>
      <c r="L32" s="52"/>
      <c r="M32" s="8"/>
      <c r="N32" s="7"/>
      <c r="O32" s="218">
        <f t="shared" si="0"/>
        <v>0</v>
      </c>
      <c r="P32" s="218">
        <f t="shared" si="1"/>
        <v>0</v>
      </c>
      <c r="Q32" s="59"/>
      <c r="R32" s="51"/>
      <c r="S32" s="65"/>
      <c r="T32" s="64"/>
      <c r="U32" s="67"/>
      <c r="V32" s="74"/>
      <c r="W32" s="6">
        <f>'CLIENT ENROLLMENT DISCHARGE '!M31</f>
        <v>0</v>
      </c>
      <c r="X32" s="76">
        <f>'CLIENT ENROLLMENT DISCHARGE '!L31</f>
        <v>0</v>
      </c>
      <c r="Y32" s="180"/>
    </row>
    <row r="33" spans="1:25" ht="50.1" customHeight="1" x14ac:dyDescent="0.25">
      <c r="A33" s="5">
        <v>18</v>
      </c>
      <c r="B33" s="10">
        <f>'CLIENT ENROLLMENT DISCHARGE '!B32</f>
        <v>0</v>
      </c>
      <c r="C33" s="4">
        <f>'CLIENT ENROLLMENT DISCHARGE '!C32</f>
        <v>0</v>
      </c>
      <c r="D33" s="52"/>
      <c r="E33" s="53"/>
      <c r="F33" s="52"/>
      <c r="G33" s="53"/>
      <c r="H33" s="63"/>
      <c r="I33" s="116"/>
      <c r="J33" s="144"/>
      <c r="K33" s="71"/>
      <c r="L33" s="53"/>
      <c r="M33" s="2"/>
      <c r="N33" s="1"/>
      <c r="O33" s="218">
        <f t="shared" si="0"/>
        <v>0</v>
      </c>
      <c r="P33" s="218">
        <f t="shared" si="1"/>
        <v>0</v>
      </c>
      <c r="Q33" s="60"/>
      <c r="R33" s="52"/>
      <c r="S33" s="66"/>
      <c r="T33" s="65"/>
      <c r="U33" s="68"/>
      <c r="V33" s="59"/>
      <c r="W33" s="6">
        <f>'CLIENT ENROLLMENT DISCHARGE '!M32</f>
        <v>0</v>
      </c>
      <c r="X33" s="76">
        <f>'CLIENT ENROLLMENT DISCHARGE '!L32</f>
        <v>0</v>
      </c>
      <c r="Y33" s="180"/>
    </row>
    <row r="34" spans="1:25" ht="50.1" customHeight="1" x14ac:dyDescent="0.25">
      <c r="A34" s="5">
        <v>19</v>
      </c>
      <c r="B34" s="10">
        <f>'CLIENT ENROLLMENT DISCHARGE '!B33</f>
        <v>0</v>
      </c>
      <c r="C34" s="4">
        <f>'CLIENT ENROLLMENT DISCHARGE '!C33</f>
        <v>0</v>
      </c>
      <c r="D34" s="51"/>
      <c r="E34" s="52"/>
      <c r="F34" s="51"/>
      <c r="G34" s="52"/>
      <c r="H34" s="62"/>
      <c r="I34" s="115"/>
      <c r="J34" s="143"/>
      <c r="K34" s="70"/>
      <c r="L34" s="52"/>
      <c r="M34" s="8"/>
      <c r="N34" s="7"/>
      <c r="O34" s="218">
        <f t="shared" si="0"/>
        <v>0</v>
      </c>
      <c r="P34" s="218">
        <f t="shared" si="1"/>
        <v>0</v>
      </c>
      <c r="Q34" s="59"/>
      <c r="R34" s="51"/>
      <c r="S34" s="65"/>
      <c r="T34" s="64"/>
      <c r="U34" s="67"/>
      <c r="V34" s="74"/>
      <c r="W34" s="6">
        <f>'CLIENT ENROLLMENT DISCHARGE '!M33</f>
        <v>0</v>
      </c>
      <c r="X34" s="76">
        <f>'CLIENT ENROLLMENT DISCHARGE '!L33</f>
        <v>0</v>
      </c>
      <c r="Y34" s="180"/>
    </row>
    <row r="35" spans="1:25" ht="50.1" customHeight="1" x14ac:dyDescent="0.25">
      <c r="A35" s="5">
        <v>20</v>
      </c>
      <c r="B35" s="10">
        <f>'CLIENT ENROLLMENT DISCHARGE '!B34</f>
        <v>0</v>
      </c>
      <c r="C35" s="4">
        <f>'CLIENT ENROLLMENT DISCHARGE '!C34</f>
        <v>0</v>
      </c>
      <c r="D35" s="52"/>
      <c r="E35" s="53"/>
      <c r="F35" s="52"/>
      <c r="G35" s="53"/>
      <c r="H35" s="63"/>
      <c r="I35" s="116"/>
      <c r="J35" s="144"/>
      <c r="K35" s="71"/>
      <c r="L35" s="53"/>
      <c r="M35" s="2"/>
      <c r="N35" s="1"/>
      <c r="O35" s="218">
        <f t="shared" si="0"/>
        <v>0</v>
      </c>
      <c r="P35" s="218">
        <f t="shared" si="1"/>
        <v>0</v>
      </c>
      <c r="Q35" s="60"/>
      <c r="R35" s="52"/>
      <c r="S35" s="66"/>
      <c r="T35" s="65"/>
      <c r="U35" s="68"/>
      <c r="V35" s="59"/>
      <c r="W35" s="6">
        <f>'CLIENT ENROLLMENT DISCHARGE '!M34</f>
        <v>0</v>
      </c>
      <c r="X35" s="76">
        <f>'CLIENT ENROLLMENT DISCHARGE '!L34</f>
        <v>0</v>
      </c>
      <c r="Y35" s="180"/>
    </row>
    <row r="36" spans="1:25" ht="50.1" customHeight="1" x14ac:dyDescent="0.25">
      <c r="A36" s="5">
        <v>21</v>
      </c>
      <c r="B36" s="10">
        <f>'CLIENT ENROLLMENT DISCHARGE '!B35</f>
        <v>0</v>
      </c>
      <c r="C36" s="4">
        <f>'CLIENT ENROLLMENT DISCHARGE '!C35</f>
        <v>0</v>
      </c>
      <c r="D36" s="51"/>
      <c r="E36" s="52"/>
      <c r="F36" s="51"/>
      <c r="G36" s="52"/>
      <c r="H36" s="62"/>
      <c r="I36" s="115"/>
      <c r="J36" s="143"/>
      <c r="K36" s="70"/>
      <c r="L36" s="52"/>
      <c r="M36" s="8"/>
      <c r="N36" s="7"/>
      <c r="O36" s="218">
        <f t="shared" si="0"/>
        <v>0</v>
      </c>
      <c r="P36" s="218">
        <f t="shared" si="1"/>
        <v>0</v>
      </c>
      <c r="Q36" s="59"/>
      <c r="R36" s="51"/>
      <c r="S36" s="65"/>
      <c r="T36" s="64"/>
      <c r="U36" s="67"/>
      <c r="V36" s="74"/>
      <c r="W36" s="6">
        <f>'CLIENT ENROLLMENT DISCHARGE '!M35</f>
        <v>0</v>
      </c>
      <c r="X36" s="76">
        <f>'CLIENT ENROLLMENT DISCHARGE '!L35</f>
        <v>0</v>
      </c>
      <c r="Y36" s="180"/>
    </row>
    <row r="37" spans="1:25" ht="50.1" customHeight="1" x14ac:dyDescent="0.25">
      <c r="A37" s="5">
        <v>22</v>
      </c>
      <c r="B37" s="10">
        <f>'CLIENT ENROLLMENT DISCHARGE '!B36</f>
        <v>0</v>
      </c>
      <c r="C37" s="4">
        <f>'CLIENT ENROLLMENT DISCHARGE '!C36</f>
        <v>0</v>
      </c>
      <c r="D37" s="52"/>
      <c r="E37" s="53"/>
      <c r="F37" s="52"/>
      <c r="G37" s="53"/>
      <c r="H37" s="63"/>
      <c r="I37" s="116"/>
      <c r="J37" s="144"/>
      <c r="K37" s="71"/>
      <c r="L37" s="53"/>
      <c r="M37" s="2"/>
      <c r="N37" s="1"/>
      <c r="O37" s="218">
        <f t="shared" si="0"/>
        <v>0</v>
      </c>
      <c r="P37" s="218">
        <f t="shared" si="1"/>
        <v>0</v>
      </c>
      <c r="Q37" s="60"/>
      <c r="R37" s="52"/>
      <c r="S37" s="66"/>
      <c r="T37" s="65"/>
      <c r="U37" s="68"/>
      <c r="V37" s="59"/>
      <c r="W37" s="6">
        <f>'CLIENT ENROLLMENT DISCHARGE '!M36</f>
        <v>0</v>
      </c>
      <c r="X37" s="76">
        <f>'CLIENT ENROLLMENT DISCHARGE '!L36</f>
        <v>0</v>
      </c>
      <c r="Y37" s="180"/>
    </row>
    <row r="38" spans="1:25" ht="50.1" customHeight="1" x14ac:dyDescent="0.25">
      <c r="A38" s="5">
        <v>23</v>
      </c>
      <c r="B38" s="10">
        <f>'CLIENT ENROLLMENT DISCHARGE '!B37</f>
        <v>0</v>
      </c>
      <c r="C38" s="4">
        <f>'CLIENT ENROLLMENT DISCHARGE '!C37</f>
        <v>0</v>
      </c>
      <c r="D38" s="51"/>
      <c r="E38" s="52"/>
      <c r="F38" s="51"/>
      <c r="G38" s="52"/>
      <c r="H38" s="62"/>
      <c r="I38" s="115"/>
      <c r="J38" s="143"/>
      <c r="K38" s="70"/>
      <c r="L38" s="52"/>
      <c r="M38" s="8"/>
      <c r="N38" s="7"/>
      <c r="O38" s="218">
        <f t="shared" si="0"/>
        <v>0</v>
      </c>
      <c r="P38" s="218">
        <f t="shared" si="1"/>
        <v>0</v>
      </c>
      <c r="Q38" s="59"/>
      <c r="R38" s="51"/>
      <c r="S38" s="65"/>
      <c r="T38" s="64"/>
      <c r="U38" s="67"/>
      <c r="V38" s="74"/>
      <c r="W38" s="6">
        <f>'CLIENT ENROLLMENT DISCHARGE '!M37</f>
        <v>0</v>
      </c>
      <c r="X38" s="76">
        <f>'CLIENT ENROLLMENT DISCHARGE '!L37</f>
        <v>0</v>
      </c>
      <c r="Y38" s="180"/>
    </row>
    <row r="39" spans="1:25" ht="50.1" customHeight="1" x14ac:dyDescent="0.25">
      <c r="A39" s="5">
        <v>24</v>
      </c>
      <c r="B39" s="10">
        <f>'CLIENT ENROLLMENT DISCHARGE '!B38</f>
        <v>0</v>
      </c>
      <c r="C39" s="4">
        <f>'CLIENT ENROLLMENT DISCHARGE '!C38</f>
        <v>0</v>
      </c>
      <c r="D39" s="52"/>
      <c r="E39" s="53"/>
      <c r="F39" s="52"/>
      <c r="G39" s="53"/>
      <c r="H39" s="63"/>
      <c r="I39" s="116"/>
      <c r="J39" s="144"/>
      <c r="K39" s="71"/>
      <c r="L39" s="53"/>
      <c r="M39" s="2"/>
      <c r="N39" s="1"/>
      <c r="O39" s="218">
        <f t="shared" si="0"/>
        <v>0</v>
      </c>
      <c r="P39" s="218">
        <f t="shared" si="1"/>
        <v>0</v>
      </c>
      <c r="Q39" s="60"/>
      <c r="R39" s="52"/>
      <c r="S39" s="66"/>
      <c r="T39" s="65"/>
      <c r="U39" s="68"/>
      <c r="V39" s="59"/>
      <c r="W39" s="6">
        <f>'CLIENT ENROLLMENT DISCHARGE '!M38</f>
        <v>0</v>
      </c>
      <c r="X39" s="76">
        <f>'CLIENT ENROLLMENT DISCHARGE '!L38</f>
        <v>0</v>
      </c>
      <c r="Y39" s="180"/>
    </row>
    <row r="40" spans="1:25" ht="50.1" customHeight="1" x14ac:dyDescent="0.25">
      <c r="A40" s="5">
        <v>25</v>
      </c>
      <c r="B40" s="10">
        <f>'CLIENT ENROLLMENT DISCHARGE '!B39</f>
        <v>0</v>
      </c>
      <c r="C40" s="4">
        <f>'CLIENT ENROLLMENT DISCHARGE '!C39</f>
        <v>0</v>
      </c>
      <c r="D40" s="51"/>
      <c r="E40" s="52"/>
      <c r="F40" s="51"/>
      <c r="G40" s="52"/>
      <c r="H40" s="62"/>
      <c r="I40" s="115"/>
      <c r="J40" s="143"/>
      <c r="K40" s="70"/>
      <c r="L40" s="52"/>
      <c r="M40" s="8"/>
      <c r="N40" s="7"/>
      <c r="O40" s="218">
        <f t="shared" si="0"/>
        <v>0</v>
      </c>
      <c r="P40" s="218">
        <f t="shared" si="1"/>
        <v>0</v>
      </c>
      <c r="Q40" s="59"/>
      <c r="R40" s="51"/>
      <c r="S40" s="65"/>
      <c r="T40" s="64"/>
      <c r="U40" s="67"/>
      <c r="V40" s="74"/>
      <c r="W40" s="6">
        <f>'CLIENT ENROLLMENT DISCHARGE '!M39</f>
        <v>0</v>
      </c>
      <c r="X40" s="76">
        <f>'CLIENT ENROLLMENT DISCHARGE '!L39</f>
        <v>0</v>
      </c>
      <c r="Y40" s="180"/>
    </row>
    <row r="41" spans="1:25" ht="50.1" customHeight="1" x14ac:dyDescent="0.25">
      <c r="A41" s="5">
        <v>26</v>
      </c>
      <c r="B41" s="10">
        <f>'CLIENT ENROLLMENT DISCHARGE '!B40</f>
        <v>0</v>
      </c>
      <c r="C41" s="4">
        <f>'CLIENT ENROLLMENT DISCHARGE '!C40</f>
        <v>0</v>
      </c>
      <c r="D41" s="52"/>
      <c r="E41" s="53"/>
      <c r="F41" s="52"/>
      <c r="G41" s="53"/>
      <c r="H41" s="63"/>
      <c r="I41" s="116"/>
      <c r="J41" s="3"/>
      <c r="K41" s="71"/>
      <c r="L41" s="53"/>
      <c r="M41" s="2"/>
      <c r="N41" s="1"/>
      <c r="O41" s="218">
        <f t="shared" si="0"/>
        <v>0</v>
      </c>
      <c r="P41" s="218">
        <f t="shared" si="1"/>
        <v>0</v>
      </c>
      <c r="Q41" s="60"/>
      <c r="R41" s="52"/>
      <c r="S41" s="66"/>
      <c r="T41" s="65"/>
      <c r="U41" s="68"/>
      <c r="V41" s="75"/>
      <c r="W41" s="6">
        <f>'CLIENT ENROLLMENT DISCHARGE '!M40</f>
        <v>0</v>
      </c>
      <c r="X41" s="76">
        <f>'CLIENT ENROLLMENT DISCHARGE '!L40</f>
        <v>0</v>
      </c>
      <c r="Y41" s="180"/>
    </row>
    <row r="42" spans="1:25" ht="50.1" customHeight="1" x14ac:dyDescent="0.25">
      <c r="A42" s="5">
        <v>27</v>
      </c>
      <c r="B42" s="10">
        <f>'CLIENT ENROLLMENT DISCHARGE '!B41</f>
        <v>0</v>
      </c>
      <c r="C42" s="4">
        <f>'CLIENT ENROLLMENT DISCHARGE '!C41</f>
        <v>0</v>
      </c>
      <c r="D42" s="51"/>
      <c r="E42" s="52"/>
      <c r="F42" s="51"/>
      <c r="G42" s="52"/>
      <c r="H42" s="62"/>
      <c r="I42" s="115"/>
      <c r="J42" s="143"/>
      <c r="K42" s="70"/>
      <c r="L42" s="52"/>
      <c r="M42" s="8"/>
      <c r="N42" s="7"/>
      <c r="O42" s="218">
        <f t="shared" si="0"/>
        <v>0</v>
      </c>
      <c r="P42" s="218">
        <f t="shared" si="1"/>
        <v>0</v>
      </c>
      <c r="Q42" s="59"/>
      <c r="R42" s="51"/>
      <c r="S42" s="65"/>
      <c r="T42" s="64"/>
      <c r="U42" s="67"/>
      <c r="V42" s="74"/>
      <c r="W42" s="6">
        <f>'CLIENT ENROLLMENT DISCHARGE '!M41</f>
        <v>0</v>
      </c>
      <c r="X42" s="76">
        <f>'CLIENT ENROLLMENT DISCHARGE '!L41</f>
        <v>0</v>
      </c>
      <c r="Y42" s="180"/>
    </row>
    <row r="43" spans="1:25" ht="50.1" customHeight="1" x14ac:dyDescent="0.25">
      <c r="A43" s="5">
        <v>28</v>
      </c>
      <c r="B43" s="10">
        <f>'CLIENT ENROLLMENT DISCHARGE '!B42</f>
        <v>0</v>
      </c>
      <c r="C43" s="4">
        <f>'CLIENT ENROLLMENT DISCHARGE '!C42</f>
        <v>0</v>
      </c>
      <c r="D43" s="52"/>
      <c r="E43" s="53"/>
      <c r="F43" s="52"/>
      <c r="G43" s="53"/>
      <c r="H43" s="63"/>
      <c r="I43" s="116"/>
      <c r="J43" s="144"/>
      <c r="K43" s="71"/>
      <c r="L43" s="53"/>
      <c r="M43" s="2"/>
      <c r="N43" s="1"/>
      <c r="O43" s="218">
        <f t="shared" si="0"/>
        <v>0</v>
      </c>
      <c r="P43" s="218">
        <f t="shared" si="1"/>
        <v>0</v>
      </c>
      <c r="Q43" s="60"/>
      <c r="R43" s="52"/>
      <c r="S43" s="66"/>
      <c r="T43" s="65"/>
      <c r="U43" s="68"/>
      <c r="V43" s="59"/>
      <c r="W43" s="6">
        <f>'CLIENT ENROLLMENT DISCHARGE '!M42</f>
        <v>0</v>
      </c>
      <c r="X43" s="76">
        <f>'CLIENT ENROLLMENT DISCHARGE '!L42</f>
        <v>0</v>
      </c>
      <c r="Y43" s="180"/>
    </row>
    <row r="44" spans="1:25" ht="50.1" customHeight="1" x14ac:dyDescent="0.25">
      <c r="A44" s="5">
        <v>29</v>
      </c>
      <c r="B44" s="10">
        <f>'CLIENT ENROLLMENT DISCHARGE '!B43</f>
        <v>0</v>
      </c>
      <c r="C44" s="4">
        <f>'CLIENT ENROLLMENT DISCHARGE '!C43</f>
        <v>0</v>
      </c>
      <c r="D44" s="51"/>
      <c r="E44" s="52"/>
      <c r="F44" s="51"/>
      <c r="G44" s="52"/>
      <c r="H44" s="62"/>
      <c r="I44" s="115"/>
      <c r="J44" s="143"/>
      <c r="K44" s="70"/>
      <c r="L44" s="52"/>
      <c r="M44" s="8"/>
      <c r="N44" s="7"/>
      <c r="O44" s="218">
        <f t="shared" si="0"/>
        <v>0</v>
      </c>
      <c r="P44" s="218">
        <f t="shared" si="1"/>
        <v>0</v>
      </c>
      <c r="Q44" s="59"/>
      <c r="R44" s="51"/>
      <c r="S44" s="65"/>
      <c r="T44" s="64"/>
      <c r="U44" s="67"/>
      <c r="V44" s="74"/>
      <c r="W44" s="6">
        <f>'CLIENT ENROLLMENT DISCHARGE '!M43</f>
        <v>0</v>
      </c>
      <c r="X44" s="76">
        <f>'CLIENT ENROLLMENT DISCHARGE '!L43</f>
        <v>0</v>
      </c>
      <c r="Y44" s="180"/>
    </row>
    <row r="45" spans="1:25" ht="50.1" customHeight="1" x14ac:dyDescent="0.25">
      <c r="A45" s="5">
        <v>30</v>
      </c>
      <c r="B45" s="10">
        <f>'CLIENT ENROLLMENT DISCHARGE '!B44</f>
        <v>0</v>
      </c>
      <c r="C45" s="4">
        <f>'CLIENT ENROLLMENT DISCHARGE '!C44</f>
        <v>0</v>
      </c>
      <c r="D45" s="52"/>
      <c r="E45" s="53"/>
      <c r="F45" s="52"/>
      <c r="G45" s="53"/>
      <c r="H45" s="63"/>
      <c r="I45" s="116"/>
      <c r="J45" s="144"/>
      <c r="K45" s="71"/>
      <c r="L45" s="53"/>
      <c r="M45" s="2"/>
      <c r="N45" s="1"/>
      <c r="O45" s="218">
        <f t="shared" si="0"/>
        <v>0</v>
      </c>
      <c r="P45" s="218">
        <f t="shared" si="1"/>
        <v>0</v>
      </c>
      <c r="Q45" s="60"/>
      <c r="R45" s="52"/>
      <c r="S45" s="66"/>
      <c r="T45" s="65"/>
      <c r="U45" s="68"/>
      <c r="V45" s="59"/>
      <c r="W45" s="6">
        <f>'CLIENT ENROLLMENT DISCHARGE '!M44</f>
        <v>0</v>
      </c>
      <c r="X45" s="76">
        <f>'CLIENT ENROLLMENT DISCHARGE '!L44</f>
        <v>0</v>
      </c>
      <c r="Y45" s="180"/>
    </row>
    <row r="46" spans="1:25" ht="50.1" customHeight="1" x14ac:dyDescent="0.25">
      <c r="A46" s="5">
        <v>31</v>
      </c>
      <c r="B46" s="10">
        <f>'CLIENT ENROLLMENT DISCHARGE '!B45</f>
        <v>0</v>
      </c>
      <c r="C46" s="4">
        <f>'CLIENT ENROLLMENT DISCHARGE '!C45</f>
        <v>0</v>
      </c>
      <c r="D46" s="51"/>
      <c r="E46" s="52"/>
      <c r="F46" s="51"/>
      <c r="G46" s="52"/>
      <c r="H46" s="62"/>
      <c r="I46" s="115"/>
      <c r="J46" s="143"/>
      <c r="K46" s="70"/>
      <c r="L46" s="52"/>
      <c r="M46" s="8"/>
      <c r="N46" s="7"/>
      <c r="O46" s="218">
        <f t="shared" si="0"/>
        <v>0</v>
      </c>
      <c r="P46" s="218">
        <f t="shared" si="1"/>
        <v>0</v>
      </c>
      <c r="Q46" s="59"/>
      <c r="R46" s="51"/>
      <c r="S46" s="65"/>
      <c r="T46" s="64"/>
      <c r="U46" s="67"/>
      <c r="V46" s="74"/>
      <c r="W46" s="6">
        <f>'CLIENT ENROLLMENT DISCHARGE '!M45</f>
        <v>0</v>
      </c>
      <c r="X46" s="76">
        <f>'CLIENT ENROLLMENT DISCHARGE '!L45</f>
        <v>0</v>
      </c>
      <c r="Y46" s="180"/>
    </row>
    <row r="47" spans="1:25" ht="50.1" customHeight="1" x14ac:dyDescent="0.25">
      <c r="A47" s="5">
        <v>32</v>
      </c>
      <c r="B47" s="10">
        <f>'CLIENT ENROLLMENT DISCHARGE '!B46</f>
        <v>0</v>
      </c>
      <c r="C47" s="4">
        <f>'CLIENT ENROLLMENT DISCHARGE '!C46</f>
        <v>0</v>
      </c>
      <c r="D47" s="52"/>
      <c r="E47" s="53"/>
      <c r="F47" s="52"/>
      <c r="G47" s="53"/>
      <c r="H47" s="63"/>
      <c r="I47" s="116"/>
      <c r="J47" s="144"/>
      <c r="K47" s="71"/>
      <c r="L47" s="53"/>
      <c r="M47" s="2"/>
      <c r="N47" s="1"/>
      <c r="O47" s="218">
        <f t="shared" si="0"/>
        <v>0</v>
      </c>
      <c r="P47" s="218">
        <f t="shared" si="1"/>
        <v>0</v>
      </c>
      <c r="Q47" s="60"/>
      <c r="R47" s="52"/>
      <c r="S47" s="66"/>
      <c r="T47" s="65"/>
      <c r="U47" s="68"/>
      <c r="V47" s="59"/>
      <c r="W47" s="6">
        <f>'CLIENT ENROLLMENT DISCHARGE '!M46</f>
        <v>0</v>
      </c>
      <c r="X47" s="76">
        <f>'CLIENT ENROLLMENT DISCHARGE '!L46</f>
        <v>0</v>
      </c>
      <c r="Y47" s="180"/>
    </row>
    <row r="48" spans="1:25" ht="50.1" customHeight="1" x14ac:dyDescent="0.25">
      <c r="A48" s="5">
        <v>33</v>
      </c>
      <c r="B48" s="10">
        <f>'CLIENT ENROLLMENT DISCHARGE '!B47</f>
        <v>0</v>
      </c>
      <c r="C48" s="4">
        <f>'CLIENT ENROLLMENT DISCHARGE '!C47</f>
        <v>0</v>
      </c>
      <c r="D48" s="51"/>
      <c r="E48" s="52"/>
      <c r="F48" s="51"/>
      <c r="G48" s="52"/>
      <c r="H48" s="62"/>
      <c r="I48" s="115"/>
      <c r="J48" s="143"/>
      <c r="K48" s="70"/>
      <c r="L48" s="52"/>
      <c r="M48" s="8"/>
      <c r="N48" s="7"/>
      <c r="O48" s="218">
        <f t="shared" si="0"/>
        <v>0</v>
      </c>
      <c r="P48" s="218">
        <f t="shared" si="1"/>
        <v>0</v>
      </c>
      <c r="Q48" s="59"/>
      <c r="R48" s="51"/>
      <c r="S48" s="65"/>
      <c r="T48" s="64"/>
      <c r="U48" s="67"/>
      <c r="V48" s="74"/>
      <c r="W48" s="6">
        <f>'CLIENT ENROLLMENT DISCHARGE '!M47</f>
        <v>0</v>
      </c>
      <c r="X48" s="76">
        <f>'CLIENT ENROLLMENT DISCHARGE '!L47</f>
        <v>0</v>
      </c>
      <c r="Y48" s="180"/>
    </row>
    <row r="49" spans="1:25" ht="50.1" customHeight="1" x14ac:dyDescent="0.25">
      <c r="A49" s="5">
        <v>34</v>
      </c>
      <c r="B49" s="10">
        <f>'CLIENT ENROLLMENT DISCHARGE '!B48</f>
        <v>0</v>
      </c>
      <c r="C49" s="4">
        <f>'CLIENT ENROLLMENT DISCHARGE '!C48</f>
        <v>0</v>
      </c>
      <c r="D49" s="52"/>
      <c r="E49" s="53"/>
      <c r="F49" s="52"/>
      <c r="G49" s="53"/>
      <c r="H49" s="63"/>
      <c r="I49" s="116"/>
      <c r="J49" s="144"/>
      <c r="K49" s="71"/>
      <c r="L49" s="53"/>
      <c r="M49" s="2"/>
      <c r="N49" s="1"/>
      <c r="O49" s="218">
        <f t="shared" si="0"/>
        <v>0</v>
      </c>
      <c r="P49" s="218">
        <f t="shared" si="1"/>
        <v>0</v>
      </c>
      <c r="Q49" s="60"/>
      <c r="R49" s="52"/>
      <c r="S49" s="66"/>
      <c r="T49" s="65"/>
      <c r="U49" s="68"/>
      <c r="V49" s="59"/>
      <c r="W49" s="6">
        <f>'CLIENT ENROLLMENT DISCHARGE '!M48</f>
        <v>0</v>
      </c>
      <c r="X49" s="76">
        <f>'CLIENT ENROLLMENT DISCHARGE '!L48</f>
        <v>0</v>
      </c>
      <c r="Y49" s="180"/>
    </row>
    <row r="50" spans="1:25" ht="50.1" customHeight="1" x14ac:dyDescent="0.25">
      <c r="A50" s="5">
        <v>35</v>
      </c>
      <c r="B50" s="10">
        <f>'CLIENT ENROLLMENT DISCHARGE '!B49</f>
        <v>0</v>
      </c>
      <c r="C50" s="4">
        <f>'CLIENT ENROLLMENT DISCHARGE '!C49</f>
        <v>0</v>
      </c>
      <c r="D50" s="51"/>
      <c r="E50" s="52"/>
      <c r="F50" s="51"/>
      <c r="G50" s="52"/>
      <c r="H50" s="62"/>
      <c r="I50" s="115"/>
      <c r="J50" s="143"/>
      <c r="K50" s="70"/>
      <c r="L50" s="52"/>
      <c r="M50" s="8"/>
      <c r="N50" s="7"/>
      <c r="O50" s="218">
        <f t="shared" si="0"/>
        <v>0</v>
      </c>
      <c r="P50" s="218">
        <f t="shared" si="1"/>
        <v>0</v>
      </c>
      <c r="Q50" s="59"/>
      <c r="R50" s="51"/>
      <c r="S50" s="65"/>
      <c r="T50" s="64"/>
      <c r="U50" s="67"/>
      <c r="V50" s="74"/>
      <c r="W50" s="6">
        <f>'CLIENT ENROLLMENT DISCHARGE '!M49</f>
        <v>0</v>
      </c>
      <c r="X50" s="76">
        <f>'CLIENT ENROLLMENT DISCHARGE '!L49</f>
        <v>0</v>
      </c>
      <c r="Y50" s="180"/>
    </row>
    <row r="51" spans="1:25" ht="50.1" customHeight="1" x14ac:dyDescent="0.25">
      <c r="A51" s="5">
        <v>36</v>
      </c>
      <c r="B51" s="10">
        <f>'CLIENT ENROLLMENT DISCHARGE '!B50</f>
        <v>0</v>
      </c>
      <c r="C51" s="4">
        <f>'CLIENT ENROLLMENT DISCHARGE '!C50</f>
        <v>0</v>
      </c>
      <c r="D51" s="52"/>
      <c r="E51" s="53"/>
      <c r="F51" s="52"/>
      <c r="G51" s="53"/>
      <c r="H51" s="63"/>
      <c r="I51" s="116"/>
      <c r="J51" s="144"/>
      <c r="K51" s="71"/>
      <c r="L51" s="53"/>
      <c r="M51" s="2"/>
      <c r="N51" s="1"/>
      <c r="O51" s="218">
        <f t="shared" si="0"/>
        <v>0</v>
      </c>
      <c r="P51" s="218">
        <f t="shared" si="1"/>
        <v>0</v>
      </c>
      <c r="Q51" s="60"/>
      <c r="R51" s="52"/>
      <c r="S51" s="66"/>
      <c r="T51" s="65"/>
      <c r="U51" s="68"/>
      <c r="V51" s="75"/>
      <c r="W51" s="6">
        <f>'CLIENT ENROLLMENT DISCHARGE '!M50</f>
        <v>0</v>
      </c>
      <c r="X51" s="76">
        <f>'CLIENT ENROLLMENT DISCHARGE '!L50</f>
        <v>0</v>
      </c>
      <c r="Y51" s="180"/>
    </row>
    <row r="52" spans="1:25" ht="50.1" customHeight="1" x14ac:dyDescent="0.25">
      <c r="A52" s="5">
        <v>37</v>
      </c>
      <c r="B52" s="10">
        <f>'CLIENT ENROLLMENT DISCHARGE '!B51</f>
        <v>0</v>
      </c>
      <c r="C52" s="4">
        <f>'CLIENT ENROLLMENT DISCHARGE '!C51</f>
        <v>0</v>
      </c>
      <c r="D52" s="51"/>
      <c r="E52" s="52"/>
      <c r="F52" s="51"/>
      <c r="G52" s="52"/>
      <c r="H52" s="62"/>
      <c r="I52" s="115"/>
      <c r="J52" s="143"/>
      <c r="K52" s="70"/>
      <c r="L52" s="52"/>
      <c r="M52" s="8"/>
      <c r="N52" s="7"/>
      <c r="O52" s="218">
        <f t="shared" si="0"/>
        <v>0</v>
      </c>
      <c r="P52" s="218">
        <f t="shared" si="1"/>
        <v>0</v>
      </c>
      <c r="Q52" s="59"/>
      <c r="R52" s="51"/>
      <c r="S52" s="65"/>
      <c r="T52" s="64"/>
      <c r="U52" s="67"/>
      <c r="V52" s="74"/>
      <c r="W52" s="6">
        <f>'CLIENT ENROLLMENT DISCHARGE '!M51</f>
        <v>0</v>
      </c>
      <c r="X52" s="76">
        <f>'CLIENT ENROLLMENT DISCHARGE '!L51</f>
        <v>0</v>
      </c>
      <c r="Y52" s="180"/>
    </row>
    <row r="53" spans="1:25" ht="50.1" customHeight="1" x14ac:dyDescent="0.25">
      <c r="A53" s="5">
        <v>38</v>
      </c>
      <c r="B53" s="10">
        <f>'CLIENT ENROLLMENT DISCHARGE '!B52</f>
        <v>0</v>
      </c>
      <c r="C53" s="4">
        <f>'CLIENT ENROLLMENT DISCHARGE '!C52</f>
        <v>0</v>
      </c>
      <c r="D53" s="52"/>
      <c r="E53" s="53"/>
      <c r="F53" s="52"/>
      <c r="G53" s="53"/>
      <c r="H53" s="63"/>
      <c r="I53" s="116"/>
      <c r="J53" s="144"/>
      <c r="K53" s="71"/>
      <c r="L53" s="53"/>
      <c r="M53" s="2"/>
      <c r="N53" s="1"/>
      <c r="O53" s="218">
        <f t="shared" si="0"/>
        <v>0</v>
      </c>
      <c r="P53" s="218">
        <f t="shared" si="1"/>
        <v>0</v>
      </c>
      <c r="Q53" s="60"/>
      <c r="R53" s="52"/>
      <c r="S53" s="66"/>
      <c r="T53" s="65"/>
      <c r="U53" s="68"/>
      <c r="V53" s="59"/>
      <c r="W53" s="6">
        <f>'CLIENT ENROLLMENT DISCHARGE '!M52</f>
        <v>0</v>
      </c>
      <c r="X53" s="76">
        <f>'CLIENT ENROLLMENT DISCHARGE '!L52</f>
        <v>0</v>
      </c>
      <c r="Y53" s="180"/>
    </row>
    <row r="54" spans="1:25" ht="50.1" customHeight="1" x14ac:dyDescent="0.25">
      <c r="A54" s="5">
        <v>39</v>
      </c>
      <c r="B54" s="10">
        <f>'CLIENT ENROLLMENT DISCHARGE '!B53</f>
        <v>0</v>
      </c>
      <c r="C54" s="4">
        <f>'CLIENT ENROLLMENT DISCHARGE '!C53</f>
        <v>0</v>
      </c>
      <c r="D54" s="51"/>
      <c r="E54" s="52"/>
      <c r="F54" s="51"/>
      <c r="G54" s="52"/>
      <c r="H54" s="62"/>
      <c r="I54" s="115"/>
      <c r="J54" s="143"/>
      <c r="K54" s="70"/>
      <c r="L54" s="52"/>
      <c r="M54" s="8"/>
      <c r="N54" s="7"/>
      <c r="O54" s="218">
        <f t="shared" si="0"/>
        <v>0</v>
      </c>
      <c r="P54" s="218">
        <f t="shared" si="1"/>
        <v>0</v>
      </c>
      <c r="Q54" s="59"/>
      <c r="R54" s="51"/>
      <c r="S54" s="65"/>
      <c r="T54" s="64"/>
      <c r="U54" s="67"/>
      <c r="V54" s="74"/>
      <c r="W54" s="6">
        <f>'CLIENT ENROLLMENT DISCHARGE '!M53</f>
        <v>0</v>
      </c>
      <c r="X54" s="76">
        <f>'CLIENT ENROLLMENT DISCHARGE '!L53</f>
        <v>0</v>
      </c>
      <c r="Y54" s="180"/>
    </row>
    <row r="55" spans="1:25" ht="50.1" customHeight="1" x14ac:dyDescent="0.25">
      <c r="A55" s="5">
        <v>40</v>
      </c>
      <c r="B55" s="10">
        <f>'CLIENT ENROLLMENT DISCHARGE '!B54</f>
        <v>0</v>
      </c>
      <c r="C55" s="4">
        <f>'CLIENT ENROLLMENT DISCHARGE '!C54</f>
        <v>0</v>
      </c>
      <c r="D55" s="52"/>
      <c r="E55" s="53"/>
      <c r="F55" s="52"/>
      <c r="G55" s="53"/>
      <c r="H55" s="63"/>
      <c r="I55" s="116"/>
      <c r="J55" s="144"/>
      <c r="K55" s="71"/>
      <c r="L55" s="53"/>
      <c r="M55" s="2"/>
      <c r="N55" s="1"/>
      <c r="O55" s="218">
        <f t="shared" si="0"/>
        <v>0</v>
      </c>
      <c r="P55" s="218">
        <f t="shared" si="1"/>
        <v>0</v>
      </c>
      <c r="Q55" s="60"/>
      <c r="R55" s="52"/>
      <c r="S55" s="66"/>
      <c r="T55" s="65"/>
      <c r="U55" s="68"/>
      <c r="V55" s="59"/>
      <c r="W55" s="6">
        <f>'CLIENT ENROLLMENT DISCHARGE '!M54</f>
        <v>0</v>
      </c>
      <c r="X55" s="76">
        <f>'CLIENT ENROLLMENT DISCHARGE '!L54</f>
        <v>0</v>
      </c>
      <c r="Y55" s="180"/>
    </row>
    <row r="56" spans="1:25" ht="50.1" customHeight="1" x14ac:dyDescent="0.25">
      <c r="A56" s="5">
        <v>41</v>
      </c>
      <c r="B56" s="10">
        <f>'CLIENT ENROLLMENT DISCHARGE '!B55</f>
        <v>0</v>
      </c>
      <c r="C56" s="4">
        <f>'CLIENT ENROLLMENT DISCHARGE '!C55</f>
        <v>0</v>
      </c>
      <c r="D56" s="51"/>
      <c r="E56" s="52"/>
      <c r="F56" s="51"/>
      <c r="G56" s="52"/>
      <c r="H56" s="62"/>
      <c r="I56" s="115"/>
      <c r="J56" s="143"/>
      <c r="K56" s="70"/>
      <c r="L56" s="52"/>
      <c r="M56" s="8"/>
      <c r="N56" s="7"/>
      <c r="O56" s="218">
        <f t="shared" si="0"/>
        <v>0</v>
      </c>
      <c r="P56" s="218">
        <f t="shared" si="1"/>
        <v>0</v>
      </c>
      <c r="Q56" s="59"/>
      <c r="R56" s="51"/>
      <c r="S56" s="65"/>
      <c r="T56" s="64"/>
      <c r="U56" s="67"/>
      <c r="V56" s="74"/>
      <c r="W56" s="6">
        <f>'CLIENT ENROLLMENT DISCHARGE '!M55</f>
        <v>0</v>
      </c>
      <c r="X56" s="76">
        <f>'CLIENT ENROLLMENT DISCHARGE '!L55</f>
        <v>0</v>
      </c>
      <c r="Y56" s="180"/>
    </row>
    <row r="57" spans="1:25" ht="50.1" customHeight="1" x14ac:dyDescent="0.25">
      <c r="A57" s="5">
        <v>42</v>
      </c>
      <c r="B57" s="10">
        <f>'CLIENT ENROLLMENT DISCHARGE '!B56</f>
        <v>0</v>
      </c>
      <c r="C57" s="4">
        <f>'CLIENT ENROLLMENT DISCHARGE '!C56</f>
        <v>0</v>
      </c>
      <c r="D57" s="52"/>
      <c r="E57" s="53"/>
      <c r="F57" s="52"/>
      <c r="G57" s="53"/>
      <c r="H57" s="63"/>
      <c r="I57" s="116"/>
      <c r="J57" s="144"/>
      <c r="K57" s="71"/>
      <c r="L57" s="53"/>
      <c r="M57" s="2"/>
      <c r="N57" s="1"/>
      <c r="O57" s="218">
        <f t="shared" si="0"/>
        <v>0</v>
      </c>
      <c r="P57" s="218">
        <f t="shared" si="1"/>
        <v>0</v>
      </c>
      <c r="Q57" s="60"/>
      <c r="R57" s="52"/>
      <c r="S57" s="66"/>
      <c r="T57" s="65"/>
      <c r="U57" s="68"/>
      <c r="V57" s="59"/>
      <c r="W57" s="6">
        <f>'CLIENT ENROLLMENT DISCHARGE '!M56</f>
        <v>0</v>
      </c>
      <c r="X57" s="76">
        <f>'CLIENT ENROLLMENT DISCHARGE '!L56</f>
        <v>0</v>
      </c>
      <c r="Y57" s="180"/>
    </row>
    <row r="58" spans="1:25" ht="50.1" customHeight="1" x14ac:dyDescent="0.25">
      <c r="A58" s="5">
        <f>ROW(A46)</f>
        <v>46</v>
      </c>
      <c r="B58" s="10">
        <f>'CLIENT ENROLLMENT DISCHARGE '!B57</f>
        <v>0</v>
      </c>
      <c r="C58" s="4">
        <f>'CLIENT ENROLLMENT DISCHARGE '!C57</f>
        <v>0</v>
      </c>
      <c r="D58" s="51"/>
      <c r="E58" s="52"/>
      <c r="F58" s="51"/>
      <c r="G58" s="52"/>
      <c r="H58" s="62"/>
      <c r="I58" s="115"/>
      <c r="J58" s="143"/>
      <c r="K58" s="70"/>
      <c r="L58" s="52"/>
      <c r="M58" s="8"/>
      <c r="N58" s="7"/>
      <c r="O58" s="218">
        <f t="shared" si="0"/>
        <v>0</v>
      </c>
      <c r="P58" s="218">
        <f t="shared" si="1"/>
        <v>0</v>
      </c>
      <c r="Q58" s="59"/>
      <c r="R58" s="51"/>
      <c r="S58" s="65"/>
      <c r="T58" s="64"/>
      <c r="U58" s="67"/>
      <c r="V58" s="74"/>
      <c r="W58" s="6">
        <f>'CLIENT ENROLLMENT DISCHARGE '!M57</f>
        <v>0</v>
      </c>
      <c r="X58" s="76">
        <f>'CLIENT ENROLLMENT DISCHARGE '!L57</f>
        <v>0</v>
      </c>
      <c r="Y58" s="180"/>
    </row>
    <row r="59" spans="1:25" ht="50.1" customHeight="1" x14ac:dyDescent="0.25">
      <c r="A59" s="5">
        <v>44</v>
      </c>
      <c r="B59" s="10">
        <f>'CLIENT ENROLLMENT DISCHARGE '!B58</f>
        <v>0</v>
      </c>
      <c r="C59" s="4">
        <f>'CLIENT ENROLLMENT DISCHARGE '!C58</f>
        <v>0</v>
      </c>
      <c r="D59" s="52"/>
      <c r="E59" s="53"/>
      <c r="F59" s="52"/>
      <c r="G59" s="53"/>
      <c r="H59" s="63"/>
      <c r="I59" s="116"/>
      <c r="J59" s="144"/>
      <c r="K59" s="71"/>
      <c r="L59" s="53"/>
      <c r="M59" s="2"/>
      <c r="N59" s="1"/>
      <c r="O59" s="218">
        <f t="shared" si="0"/>
        <v>0</v>
      </c>
      <c r="P59" s="218">
        <f t="shared" si="1"/>
        <v>0</v>
      </c>
      <c r="Q59" s="60"/>
      <c r="R59" s="52"/>
      <c r="S59" s="66"/>
      <c r="T59" s="65"/>
      <c r="U59" s="68"/>
      <c r="V59" s="59"/>
      <c r="W59" s="6">
        <f>'CLIENT ENROLLMENT DISCHARGE '!M58</f>
        <v>0</v>
      </c>
      <c r="X59" s="76">
        <f>'CLIENT ENROLLMENT DISCHARGE '!L58</f>
        <v>0</v>
      </c>
      <c r="Y59" s="180"/>
    </row>
    <row r="60" spans="1:25" ht="50.1" customHeight="1" x14ac:dyDescent="0.25">
      <c r="A60" s="5">
        <v>45</v>
      </c>
      <c r="B60" s="10">
        <f>'CLIENT ENROLLMENT DISCHARGE '!B59</f>
        <v>0</v>
      </c>
      <c r="C60" s="4">
        <f>'CLIENT ENROLLMENT DISCHARGE '!C59</f>
        <v>0</v>
      </c>
      <c r="D60" s="51"/>
      <c r="E60" s="52"/>
      <c r="F60" s="51"/>
      <c r="G60" s="52"/>
      <c r="H60" s="62"/>
      <c r="I60" s="115"/>
      <c r="J60" s="143"/>
      <c r="K60" s="70"/>
      <c r="L60" s="52"/>
      <c r="M60" s="8"/>
      <c r="N60" s="7"/>
      <c r="O60" s="218">
        <f t="shared" si="0"/>
        <v>0</v>
      </c>
      <c r="P60" s="218">
        <f t="shared" si="1"/>
        <v>0</v>
      </c>
      <c r="Q60" s="59"/>
      <c r="R60" s="51"/>
      <c r="S60" s="65"/>
      <c r="T60" s="64"/>
      <c r="U60" s="67"/>
      <c r="V60" s="74"/>
      <c r="W60" s="6">
        <f>'CLIENT ENROLLMENT DISCHARGE '!M59</f>
        <v>0</v>
      </c>
      <c r="X60" s="76">
        <f>'CLIENT ENROLLMENT DISCHARGE '!L59</f>
        <v>0</v>
      </c>
      <c r="Y60" s="180"/>
    </row>
    <row r="61" spans="1:25" ht="50.1" customHeight="1" x14ac:dyDescent="0.25">
      <c r="A61" s="5">
        <v>46</v>
      </c>
      <c r="B61" s="10">
        <f>'CLIENT ENROLLMENT DISCHARGE '!B60</f>
        <v>0</v>
      </c>
      <c r="C61" s="4">
        <f>'CLIENT ENROLLMENT DISCHARGE '!C60</f>
        <v>0</v>
      </c>
      <c r="D61" s="52"/>
      <c r="E61" s="53"/>
      <c r="F61" s="52"/>
      <c r="G61" s="53"/>
      <c r="H61" s="63"/>
      <c r="I61" s="116"/>
      <c r="J61" s="3"/>
      <c r="K61" s="71"/>
      <c r="L61" s="53"/>
      <c r="M61" s="2"/>
      <c r="N61" s="1"/>
      <c r="O61" s="218">
        <f t="shared" si="0"/>
        <v>0</v>
      </c>
      <c r="P61" s="218">
        <f t="shared" si="1"/>
        <v>0</v>
      </c>
      <c r="Q61" s="60"/>
      <c r="R61" s="52"/>
      <c r="S61" s="66"/>
      <c r="T61" s="65"/>
      <c r="U61" s="68"/>
      <c r="V61" s="75"/>
      <c r="W61" s="6">
        <f>'CLIENT ENROLLMENT DISCHARGE '!M60</f>
        <v>0</v>
      </c>
      <c r="X61" s="76">
        <f>'CLIENT ENROLLMENT DISCHARGE '!L60</f>
        <v>0</v>
      </c>
      <c r="Y61" s="180"/>
    </row>
    <row r="62" spans="1:25" ht="50.1" customHeight="1" x14ac:dyDescent="0.25">
      <c r="A62" s="5">
        <v>47</v>
      </c>
      <c r="B62" s="10">
        <f>'CLIENT ENROLLMENT DISCHARGE '!B61</f>
        <v>0</v>
      </c>
      <c r="C62" s="4">
        <f>'CLIENT ENROLLMENT DISCHARGE '!C61</f>
        <v>0</v>
      </c>
      <c r="D62" s="51"/>
      <c r="E62" s="52"/>
      <c r="F62" s="51"/>
      <c r="G62" s="52"/>
      <c r="H62" s="62"/>
      <c r="I62" s="115"/>
      <c r="J62" s="143"/>
      <c r="K62" s="70"/>
      <c r="L62" s="52"/>
      <c r="M62" s="8"/>
      <c r="N62" s="7"/>
      <c r="O62" s="218">
        <f t="shared" si="0"/>
        <v>0</v>
      </c>
      <c r="P62" s="218">
        <f t="shared" si="1"/>
        <v>0</v>
      </c>
      <c r="Q62" s="59"/>
      <c r="R62" s="51"/>
      <c r="S62" s="65"/>
      <c r="T62" s="64"/>
      <c r="U62" s="67"/>
      <c r="V62" s="74"/>
      <c r="W62" s="6">
        <f>'CLIENT ENROLLMENT DISCHARGE '!M61</f>
        <v>0</v>
      </c>
      <c r="X62" s="76">
        <f>'CLIENT ENROLLMENT DISCHARGE '!L61</f>
        <v>0</v>
      </c>
      <c r="Y62" s="180"/>
    </row>
    <row r="63" spans="1:25" ht="50.1" customHeight="1" x14ac:dyDescent="0.25">
      <c r="A63" s="5">
        <v>48</v>
      </c>
      <c r="B63" s="10">
        <f>'CLIENT ENROLLMENT DISCHARGE '!B62</f>
        <v>0</v>
      </c>
      <c r="C63" s="4">
        <f>'CLIENT ENROLLMENT DISCHARGE '!C62</f>
        <v>0</v>
      </c>
      <c r="D63" s="52"/>
      <c r="E63" s="53"/>
      <c r="F63" s="52"/>
      <c r="G63" s="53"/>
      <c r="H63" s="63"/>
      <c r="I63" s="116"/>
      <c r="J63" s="144"/>
      <c r="K63" s="71"/>
      <c r="L63" s="53"/>
      <c r="M63" s="2"/>
      <c r="N63" s="1"/>
      <c r="O63" s="218">
        <f t="shared" si="0"/>
        <v>0</v>
      </c>
      <c r="P63" s="218">
        <f t="shared" si="1"/>
        <v>0</v>
      </c>
      <c r="Q63" s="60"/>
      <c r="R63" s="52"/>
      <c r="S63" s="66"/>
      <c r="T63" s="65"/>
      <c r="U63" s="68"/>
      <c r="V63" s="59"/>
      <c r="W63" s="6">
        <f>'CLIENT ENROLLMENT DISCHARGE '!M62</f>
        <v>0</v>
      </c>
      <c r="X63" s="76">
        <f>'CLIENT ENROLLMENT DISCHARGE '!L62</f>
        <v>0</v>
      </c>
      <c r="Y63" s="180"/>
    </row>
    <row r="64" spans="1:25" ht="50.1" customHeight="1" x14ac:dyDescent="0.25">
      <c r="A64" s="5">
        <v>49</v>
      </c>
      <c r="B64" s="10">
        <f>'CLIENT ENROLLMENT DISCHARGE '!B63</f>
        <v>0</v>
      </c>
      <c r="C64" s="4">
        <f>'CLIENT ENROLLMENT DISCHARGE '!C63</f>
        <v>0</v>
      </c>
      <c r="D64" s="51"/>
      <c r="E64" s="52"/>
      <c r="F64" s="51"/>
      <c r="G64" s="52"/>
      <c r="H64" s="62"/>
      <c r="I64" s="115"/>
      <c r="J64" s="143"/>
      <c r="K64" s="70"/>
      <c r="L64" s="52"/>
      <c r="M64" s="8"/>
      <c r="N64" s="7"/>
      <c r="O64" s="218">
        <f t="shared" si="0"/>
        <v>0</v>
      </c>
      <c r="P64" s="218">
        <f t="shared" si="1"/>
        <v>0</v>
      </c>
      <c r="Q64" s="59"/>
      <c r="R64" s="51"/>
      <c r="S64" s="65"/>
      <c r="T64" s="64"/>
      <c r="U64" s="67"/>
      <c r="V64" s="74"/>
      <c r="W64" s="6">
        <f>'CLIENT ENROLLMENT DISCHARGE '!M63</f>
        <v>0</v>
      </c>
      <c r="X64" s="76">
        <f>'CLIENT ENROLLMENT DISCHARGE '!L63</f>
        <v>0</v>
      </c>
      <c r="Y64" s="180"/>
    </row>
    <row r="65" spans="1:25" ht="50.1" customHeight="1" x14ac:dyDescent="0.25">
      <c r="A65" s="5">
        <v>50</v>
      </c>
      <c r="B65" s="10">
        <f>'CLIENT ENROLLMENT DISCHARGE '!B64</f>
        <v>0</v>
      </c>
      <c r="C65" s="4">
        <f>'CLIENT ENROLLMENT DISCHARGE '!C64</f>
        <v>0</v>
      </c>
      <c r="D65" s="52"/>
      <c r="E65" s="53"/>
      <c r="F65" s="52"/>
      <c r="G65" s="53"/>
      <c r="H65" s="63"/>
      <c r="I65" s="116"/>
      <c r="J65" s="144"/>
      <c r="K65" s="71"/>
      <c r="L65" s="53"/>
      <c r="M65" s="2"/>
      <c r="N65" s="1"/>
      <c r="O65" s="218">
        <f t="shared" si="0"/>
        <v>0</v>
      </c>
      <c r="P65" s="218">
        <f t="shared" si="1"/>
        <v>0</v>
      </c>
      <c r="Q65" s="60"/>
      <c r="R65" s="52"/>
      <c r="S65" s="66"/>
      <c r="T65" s="65"/>
      <c r="U65" s="68"/>
      <c r="V65" s="59"/>
      <c r="W65" s="6">
        <f>'CLIENT ENROLLMENT DISCHARGE '!M64</f>
        <v>0</v>
      </c>
      <c r="X65" s="76">
        <f>'CLIENT ENROLLMENT DISCHARGE '!L64</f>
        <v>0</v>
      </c>
      <c r="Y65" s="180"/>
    </row>
    <row r="66" spans="1:25" ht="50.1" customHeight="1" x14ac:dyDescent="0.25">
      <c r="A66" s="5">
        <v>51</v>
      </c>
      <c r="B66" s="10">
        <f>'CLIENT ENROLLMENT DISCHARGE '!B65</f>
        <v>0</v>
      </c>
      <c r="C66" s="4">
        <f>'CLIENT ENROLLMENT DISCHARGE '!C65</f>
        <v>0</v>
      </c>
      <c r="D66" s="51"/>
      <c r="E66" s="52"/>
      <c r="F66" s="51"/>
      <c r="G66" s="52"/>
      <c r="H66" s="62"/>
      <c r="I66" s="115"/>
      <c r="J66" s="143"/>
      <c r="K66" s="70"/>
      <c r="L66" s="52"/>
      <c r="M66" s="8"/>
      <c r="N66" s="7"/>
      <c r="O66" s="218">
        <f t="shared" si="0"/>
        <v>0</v>
      </c>
      <c r="P66" s="218">
        <f t="shared" si="1"/>
        <v>0</v>
      </c>
      <c r="Q66" s="59"/>
      <c r="R66" s="51"/>
      <c r="S66" s="65"/>
      <c r="T66" s="64"/>
      <c r="U66" s="67"/>
      <c r="V66" s="74"/>
      <c r="W66" s="6">
        <f>'CLIENT ENROLLMENT DISCHARGE '!M65</f>
        <v>0</v>
      </c>
      <c r="X66" s="76">
        <f>'CLIENT ENROLLMENT DISCHARGE '!L65</f>
        <v>0</v>
      </c>
      <c r="Y66" s="180"/>
    </row>
    <row r="67" spans="1:25" ht="50.1" customHeight="1" x14ac:dyDescent="0.25">
      <c r="A67" s="5">
        <v>52</v>
      </c>
      <c r="B67" s="10">
        <f>'CLIENT ENROLLMENT DISCHARGE '!B66</f>
        <v>0</v>
      </c>
      <c r="C67" s="4">
        <f>'CLIENT ENROLLMENT DISCHARGE '!C66</f>
        <v>0</v>
      </c>
      <c r="D67" s="52"/>
      <c r="E67" s="53"/>
      <c r="F67" s="52"/>
      <c r="G67" s="53"/>
      <c r="H67" s="63"/>
      <c r="I67" s="116"/>
      <c r="J67" s="144"/>
      <c r="K67" s="71"/>
      <c r="L67" s="53"/>
      <c r="M67" s="2"/>
      <c r="N67" s="1"/>
      <c r="O67" s="218">
        <f t="shared" si="0"/>
        <v>0</v>
      </c>
      <c r="P67" s="218">
        <f t="shared" si="1"/>
        <v>0</v>
      </c>
      <c r="Q67" s="60"/>
      <c r="R67" s="52"/>
      <c r="S67" s="66"/>
      <c r="T67" s="65"/>
      <c r="U67" s="68"/>
      <c r="V67" s="59"/>
      <c r="W67" s="6">
        <f>'CLIENT ENROLLMENT DISCHARGE '!M66</f>
        <v>0</v>
      </c>
      <c r="X67" s="76">
        <f>'CLIENT ENROLLMENT DISCHARGE '!L66</f>
        <v>0</v>
      </c>
      <c r="Y67" s="180"/>
    </row>
    <row r="68" spans="1:25" ht="50.1" customHeight="1" x14ac:dyDescent="0.25">
      <c r="A68" s="5">
        <v>53</v>
      </c>
      <c r="B68" s="10">
        <f>'CLIENT ENROLLMENT DISCHARGE '!B67</f>
        <v>0</v>
      </c>
      <c r="C68" s="4">
        <f>'CLIENT ENROLLMENT DISCHARGE '!C67</f>
        <v>0</v>
      </c>
      <c r="D68" s="51"/>
      <c r="E68" s="52"/>
      <c r="F68" s="51"/>
      <c r="G68" s="52"/>
      <c r="H68" s="62"/>
      <c r="I68" s="115"/>
      <c r="J68" s="143"/>
      <c r="K68" s="70"/>
      <c r="L68" s="52"/>
      <c r="M68" s="8"/>
      <c r="N68" s="7"/>
      <c r="O68" s="218">
        <f t="shared" si="0"/>
        <v>0</v>
      </c>
      <c r="P68" s="218">
        <f t="shared" si="1"/>
        <v>0</v>
      </c>
      <c r="Q68" s="59"/>
      <c r="R68" s="51"/>
      <c r="S68" s="65"/>
      <c r="T68" s="64"/>
      <c r="U68" s="67"/>
      <c r="V68" s="74"/>
      <c r="W68" s="6">
        <f>'CLIENT ENROLLMENT DISCHARGE '!M67</f>
        <v>0</v>
      </c>
      <c r="X68" s="76">
        <f>'CLIENT ENROLLMENT DISCHARGE '!L67</f>
        <v>0</v>
      </c>
      <c r="Y68" s="180"/>
    </row>
    <row r="69" spans="1:25" ht="50.1" customHeight="1" x14ac:dyDescent="0.25">
      <c r="A69" s="5">
        <v>54</v>
      </c>
      <c r="B69" s="10">
        <f>'CLIENT ENROLLMENT DISCHARGE '!B68</f>
        <v>0</v>
      </c>
      <c r="C69" s="4">
        <f>'CLIENT ENROLLMENT DISCHARGE '!C68</f>
        <v>0</v>
      </c>
      <c r="D69" s="52"/>
      <c r="E69" s="53"/>
      <c r="F69" s="52"/>
      <c r="G69" s="53"/>
      <c r="H69" s="63"/>
      <c r="I69" s="116"/>
      <c r="J69" s="144"/>
      <c r="K69" s="71"/>
      <c r="L69" s="53"/>
      <c r="M69" s="2"/>
      <c r="N69" s="1"/>
      <c r="O69" s="218">
        <f t="shared" si="0"/>
        <v>0</v>
      </c>
      <c r="P69" s="218">
        <f t="shared" si="1"/>
        <v>0</v>
      </c>
      <c r="Q69" s="60"/>
      <c r="R69" s="52"/>
      <c r="S69" s="66"/>
      <c r="T69" s="65"/>
      <c r="U69" s="68"/>
      <c r="V69" s="59"/>
      <c r="W69" s="6">
        <f>'CLIENT ENROLLMENT DISCHARGE '!M68</f>
        <v>0</v>
      </c>
      <c r="X69" s="76">
        <f>'CLIENT ENROLLMENT DISCHARGE '!L68</f>
        <v>0</v>
      </c>
      <c r="Y69" s="180"/>
    </row>
    <row r="70" spans="1:25" ht="50.1" customHeight="1" x14ac:dyDescent="0.25">
      <c r="A70" s="5">
        <v>55</v>
      </c>
      <c r="B70" s="10">
        <f>'CLIENT ENROLLMENT DISCHARGE '!B69</f>
        <v>0</v>
      </c>
      <c r="C70" s="4">
        <f>'CLIENT ENROLLMENT DISCHARGE '!C69</f>
        <v>0</v>
      </c>
      <c r="D70" s="51"/>
      <c r="E70" s="52"/>
      <c r="F70" s="51"/>
      <c r="G70" s="52"/>
      <c r="H70" s="62"/>
      <c r="I70" s="115"/>
      <c r="J70" s="143"/>
      <c r="K70" s="70"/>
      <c r="L70" s="52"/>
      <c r="M70" s="8"/>
      <c r="N70" s="7"/>
      <c r="O70" s="218">
        <f t="shared" si="0"/>
        <v>0</v>
      </c>
      <c r="P70" s="218">
        <f t="shared" si="1"/>
        <v>0</v>
      </c>
      <c r="Q70" s="59"/>
      <c r="R70" s="51"/>
      <c r="S70" s="65"/>
      <c r="T70" s="64"/>
      <c r="U70" s="67"/>
      <c r="V70" s="74"/>
      <c r="W70" s="6">
        <f>'CLIENT ENROLLMENT DISCHARGE '!M69</f>
        <v>0</v>
      </c>
      <c r="X70" s="76">
        <f>'CLIENT ENROLLMENT DISCHARGE '!L69</f>
        <v>0</v>
      </c>
      <c r="Y70" s="180"/>
    </row>
    <row r="71" spans="1:25" ht="50.1" customHeight="1" x14ac:dyDescent="0.25">
      <c r="A71" s="5">
        <v>56</v>
      </c>
      <c r="B71" s="10">
        <f>'CLIENT ENROLLMENT DISCHARGE '!B70</f>
        <v>0</v>
      </c>
      <c r="C71" s="4">
        <f>'CLIENT ENROLLMENT DISCHARGE '!C70</f>
        <v>0</v>
      </c>
      <c r="D71" s="52"/>
      <c r="E71" s="53"/>
      <c r="F71" s="52"/>
      <c r="G71" s="53"/>
      <c r="H71" s="63"/>
      <c r="I71" s="116"/>
      <c r="J71" s="144"/>
      <c r="K71" s="71"/>
      <c r="L71" s="53"/>
      <c r="M71" s="2"/>
      <c r="N71" s="1"/>
      <c r="O71" s="218">
        <f t="shared" si="0"/>
        <v>0</v>
      </c>
      <c r="P71" s="218">
        <f t="shared" si="1"/>
        <v>0</v>
      </c>
      <c r="Q71" s="60"/>
      <c r="R71" s="52"/>
      <c r="S71" s="66"/>
      <c r="T71" s="65"/>
      <c r="U71" s="68"/>
      <c r="V71" s="75"/>
      <c r="W71" s="6">
        <f>'CLIENT ENROLLMENT DISCHARGE '!M70</f>
        <v>0</v>
      </c>
      <c r="X71" s="76">
        <f>'CLIENT ENROLLMENT DISCHARGE '!L70</f>
        <v>0</v>
      </c>
      <c r="Y71" s="180"/>
    </row>
    <row r="72" spans="1:25" ht="50.1" customHeight="1" x14ac:dyDescent="0.25">
      <c r="A72" s="5">
        <v>57</v>
      </c>
      <c r="B72" s="10">
        <f>'CLIENT ENROLLMENT DISCHARGE '!B71</f>
        <v>0</v>
      </c>
      <c r="C72" s="4">
        <f>'CLIENT ENROLLMENT DISCHARGE '!C71</f>
        <v>0</v>
      </c>
      <c r="D72" s="51"/>
      <c r="E72" s="52"/>
      <c r="F72" s="51"/>
      <c r="G72" s="52"/>
      <c r="H72" s="62"/>
      <c r="I72" s="115"/>
      <c r="J72" s="143"/>
      <c r="K72" s="70"/>
      <c r="L72" s="52"/>
      <c r="M72" s="8"/>
      <c r="N72" s="7"/>
      <c r="O72" s="218">
        <f t="shared" si="0"/>
        <v>0</v>
      </c>
      <c r="P72" s="218">
        <f t="shared" si="1"/>
        <v>0</v>
      </c>
      <c r="Q72" s="59"/>
      <c r="R72" s="51"/>
      <c r="S72" s="65"/>
      <c r="T72" s="64"/>
      <c r="U72" s="67"/>
      <c r="V72" s="74"/>
      <c r="W72" s="6">
        <f>'CLIENT ENROLLMENT DISCHARGE '!M71</f>
        <v>0</v>
      </c>
      <c r="X72" s="76">
        <f>'CLIENT ENROLLMENT DISCHARGE '!L71</f>
        <v>0</v>
      </c>
      <c r="Y72" s="180"/>
    </row>
    <row r="73" spans="1:25" ht="50.1" customHeight="1" x14ac:dyDescent="0.25">
      <c r="A73" s="5">
        <v>58</v>
      </c>
      <c r="B73" s="10">
        <f>'CLIENT ENROLLMENT DISCHARGE '!B72</f>
        <v>0</v>
      </c>
      <c r="C73" s="4">
        <f>'CLIENT ENROLLMENT DISCHARGE '!C72</f>
        <v>0</v>
      </c>
      <c r="D73" s="52"/>
      <c r="E73" s="53"/>
      <c r="F73" s="52"/>
      <c r="G73" s="53"/>
      <c r="H73" s="63"/>
      <c r="I73" s="116"/>
      <c r="J73" s="144"/>
      <c r="K73" s="71"/>
      <c r="L73" s="53"/>
      <c r="M73" s="2"/>
      <c r="N73" s="1"/>
      <c r="O73" s="218">
        <f t="shared" si="0"/>
        <v>0</v>
      </c>
      <c r="P73" s="218">
        <f t="shared" si="1"/>
        <v>0</v>
      </c>
      <c r="Q73" s="60"/>
      <c r="R73" s="52"/>
      <c r="S73" s="66"/>
      <c r="T73" s="65"/>
      <c r="U73" s="68"/>
      <c r="V73" s="59"/>
      <c r="W73" s="6">
        <f>'CLIENT ENROLLMENT DISCHARGE '!M72</f>
        <v>0</v>
      </c>
      <c r="X73" s="76">
        <f>'CLIENT ENROLLMENT DISCHARGE '!L72</f>
        <v>0</v>
      </c>
      <c r="Y73" s="180"/>
    </row>
    <row r="74" spans="1:25" ht="50.1" customHeight="1" x14ac:dyDescent="0.25">
      <c r="A74" s="5">
        <v>59</v>
      </c>
      <c r="B74" s="10">
        <f>'CLIENT ENROLLMENT DISCHARGE '!B73</f>
        <v>0</v>
      </c>
      <c r="C74" s="4">
        <f>'CLIENT ENROLLMENT DISCHARGE '!C73</f>
        <v>0</v>
      </c>
      <c r="D74" s="51"/>
      <c r="E74" s="52"/>
      <c r="F74" s="51"/>
      <c r="G74" s="52"/>
      <c r="H74" s="62"/>
      <c r="I74" s="115"/>
      <c r="J74" s="143"/>
      <c r="K74" s="70"/>
      <c r="L74" s="52"/>
      <c r="M74" s="8"/>
      <c r="N74" s="7"/>
      <c r="O74" s="218">
        <f t="shared" si="0"/>
        <v>0</v>
      </c>
      <c r="P74" s="218">
        <f t="shared" si="1"/>
        <v>0</v>
      </c>
      <c r="Q74" s="59"/>
      <c r="R74" s="51"/>
      <c r="S74" s="65"/>
      <c r="T74" s="64"/>
      <c r="U74" s="67"/>
      <c r="V74" s="74"/>
      <c r="W74" s="6">
        <f>'CLIENT ENROLLMENT DISCHARGE '!M73</f>
        <v>0</v>
      </c>
      <c r="X74" s="76">
        <f>'CLIENT ENROLLMENT DISCHARGE '!L73</f>
        <v>0</v>
      </c>
      <c r="Y74" s="180"/>
    </row>
    <row r="75" spans="1:25" ht="50.1" customHeight="1" x14ac:dyDescent="0.25">
      <c r="A75" s="5">
        <v>60</v>
      </c>
      <c r="B75" s="10">
        <f>'CLIENT ENROLLMENT DISCHARGE '!B74</f>
        <v>0</v>
      </c>
      <c r="C75" s="4">
        <f>'CLIENT ENROLLMENT DISCHARGE '!C74</f>
        <v>0</v>
      </c>
      <c r="D75" s="52"/>
      <c r="E75" s="53"/>
      <c r="F75" s="52"/>
      <c r="G75" s="53"/>
      <c r="H75" s="63"/>
      <c r="I75" s="116"/>
      <c r="J75" s="144"/>
      <c r="K75" s="71"/>
      <c r="L75" s="53"/>
      <c r="M75" s="2"/>
      <c r="N75" s="1"/>
      <c r="O75" s="218">
        <f t="shared" si="0"/>
        <v>0</v>
      </c>
      <c r="P75" s="218">
        <f t="shared" si="1"/>
        <v>0</v>
      </c>
      <c r="Q75" s="60"/>
      <c r="R75" s="52"/>
      <c r="S75" s="66"/>
      <c r="T75" s="65"/>
      <c r="U75" s="68"/>
      <c r="V75" s="59"/>
      <c r="W75" s="6">
        <f>'CLIENT ENROLLMENT DISCHARGE '!M74</f>
        <v>0</v>
      </c>
      <c r="X75" s="76">
        <f>'CLIENT ENROLLMENT DISCHARGE '!L74</f>
        <v>0</v>
      </c>
      <c r="Y75" s="180"/>
    </row>
    <row r="76" spans="1:25" ht="50.1" customHeight="1" x14ac:dyDescent="0.25">
      <c r="A76" s="5">
        <v>61</v>
      </c>
      <c r="B76" s="10">
        <f>'CLIENT ENROLLMENT DISCHARGE '!B75</f>
        <v>0</v>
      </c>
      <c r="C76" s="4">
        <f>'CLIENT ENROLLMENT DISCHARGE '!C75</f>
        <v>0</v>
      </c>
      <c r="D76" s="51"/>
      <c r="E76" s="52"/>
      <c r="F76" s="51"/>
      <c r="G76" s="52"/>
      <c r="H76" s="62"/>
      <c r="I76" s="115"/>
      <c r="J76" s="143"/>
      <c r="K76" s="70"/>
      <c r="L76" s="52"/>
      <c r="M76" s="8"/>
      <c r="N76" s="7"/>
      <c r="O76" s="218">
        <f t="shared" si="0"/>
        <v>0</v>
      </c>
      <c r="P76" s="218">
        <f t="shared" si="1"/>
        <v>0</v>
      </c>
      <c r="Q76" s="59"/>
      <c r="R76" s="51"/>
      <c r="S76" s="65"/>
      <c r="T76" s="64"/>
      <c r="U76" s="67"/>
      <c r="V76" s="74"/>
      <c r="W76" s="6">
        <f>'CLIENT ENROLLMENT DISCHARGE '!M75</f>
        <v>0</v>
      </c>
      <c r="X76" s="76">
        <f>'CLIENT ENROLLMENT DISCHARGE '!L75</f>
        <v>0</v>
      </c>
      <c r="Y76" s="180"/>
    </row>
    <row r="77" spans="1:25" ht="50.1" customHeight="1" x14ac:dyDescent="0.25">
      <c r="A77" s="5">
        <v>62</v>
      </c>
      <c r="B77" s="10">
        <f>'CLIENT ENROLLMENT DISCHARGE '!B76</f>
        <v>0</v>
      </c>
      <c r="C77" s="4">
        <f>'CLIENT ENROLLMENT DISCHARGE '!C76</f>
        <v>0</v>
      </c>
      <c r="D77" s="52"/>
      <c r="E77" s="53"/>
      <c r="F77" s="52"/>
      <c r="G77" s="53"/>
      <c r="H77" s="63"/>
      <c r="I77" s="116"/>
      <c r="J77" s="144"/>
      <c r="K77" s="71"/>
      <c r="L77" s="53"/>
      <c r="M77" s="2"/>
      <c r="N77" s="1"/>
      <c r="O77" s="218">
        <f t="shared" si="0"/>
        <v>0</v>
      </c>
      <c r="P77" s="218">
        <f t="shared" si="1"/>
        <v>0</v>
      </c>
      <c r="Q77" s="60"/>
      <c r="R77" s="52"/>
      <c r="S77" s="66"/>
      <c r="T77" s="65"/>
      <c r="U77" s="68"/>
      <c r="V77" s="59"/>
      <c r="W77" s="6">
        <f>'CLIENT ENROLLMENT DISCHARGE '!M76</f>
        <v>0</v>
      </c>
      <c r="X77" s="76">
        <f>'CLIENT ENROLLMENT DISCHARGE '!L76</f>
        <v>0</v>
      </c>
      <c r="Y77" s="180"/>
    </row>
    <row r="78" spans="1:25" ht="50.1" customHeight="1" x14ac:dyDescent="0.25">
      <c r="A78" s="5">
        <v>63</v>
      </c>
      <c r="B78" s="10">
        <f>'CLIENT ENROLLMENT DISCHARGE '!B77</f>
        <v>0</v>
      </c>
      <c r="C78" s="4">
        <f>'CLIENT ENROLLMENT DISCHARGE '!C77</f>
        <v>0</v>
      </c>
      <c r="D78" s="51"/>
      <c r="E78" s="52"/>
      <c r="F78" s="51"/>
      <c r="G78" s="52"/>
      <c r="H78" s="62"/>
      <c r="I78" s="115"/>
      <c r="J78" s="143"/>
      <c r="K78" s="70"/>
      <c r="L78" s="52"/>
      <c r="M78" s="8"/>
      <c r="N78" s="7"/>
      <c r="O78" s="218">
        <f t="shared" si="0"/>
        <v>0</v>
      </c>
      <c r="P78" s="218">
        <f t="shared" si="1"/>
        <v>0</v>
      </c>
      <c r="Q78" s="59"/>
      <c r="R78" s="51"/>
      <c r="S78" s="65"/>
      <c r="T78" s="64"/>
      <c r="U78" s="67"/>
      <c r="V78" s="74"/>
      <c r="W78" s="6">
        <f>'CLIENT ENROLLMENT DISCHARGE '!M77</f>
        <v>0</v>
      </c>
      <c r="X78" s="76">
        <f>'CLIENT ENROLLMENT DISCHARGE '!L77</f>
        <v>0</v>
      </c>
      <c r="Y78" s="180"/>
    </row>
    <row r="79" spans="1:25" ht="50.1" customHeight="1" x14ac:dyDescent="0.25">
      <c r="A79" s="5">
        <v>64</v>
      </c>
      <c r="B79" s="10">
        <f>'CLIENT ENROLLMENT DISCHARGE '!B78</f>
        <v>0</v>
      </c>
      <c r="C79" s="4">
        <f>'CLIENT ENROLLMENT DISCHARGE '!C78</f>
        <v>0</v>
      </c>
      <c r="D79" s="52"/>
      <c r="E79" s="53"/>
      <c r="F79" s="52"/>
      <c r="G79" s="53"/>
      <c r="H79" s="63"/>
      <c r="I79" s="116"/>
      <c r="J79" s="144"/>
      <c r="K79" s="71"/>
      <c r="L79" s="53"/>
      <c r="M79" s="2"/>
      <c r="N79" s="1"/>
      <c r="O79" s="218">
        <f t="shared" si="0"/>
        <v>0</v>
      </c>
      <c r="P79" s="218">
        <f t="shared" si="1"/>
        <v>0</v>
      </c>
      <c r="Q79" s="60"/>
      <c r="R79" s="52"/>
      <c r="S79" s="66"/>
      <c r="T79" s="65"/>
      <c r="U79" s="68"/>
      <c r="V79" s="59"/>
      <c r="W79" s="6">
        <f>'CLIENT ENROLLMENT DISCHARGE '!M78</f>
        <v>0</v>
      </c>
      <c r="X79" s="76">
        <f>'CLIENT ENROLLMENT DISCHARGE '!L78</f>
        <v>0</v>
      </c>
      <c r="Y79" s="180"/>
    </row>
    <row r="80" spans="1:25" ht="50.1" customHeight="1" x14ac:dyDescent="0.25">
      <c r="A80" s="5">
        <v>65</v>
      </c>
      <c r="B80" s="10">
        <f>'CLIENT ENROLLMENT DISCHARGE '!B79</f>
        <v>0</v>
      </c>
      <c r="C80" s="4">
        <f>'CLIENT ENROLLMENT DISCHARGE '!C79</f>
        <v>0</v>
      </c>
      <c r="D80" s="51"/>
      <c r="E80" s="52"/>
      <c r="F80" s="51"/>
      <c r="G80" s="52"/>
      <c r="H80" s="62"/>
      <c r="I80" s="115"/>
      <c r="J80" s="143"/>
      <c r="K80" s="70"/>
      <c r="L80" s="52"/>
      <c r="M80" s="8"/>
      <c r="N80" s="7"/>
      <c r="O80" s="218">
        <f t="shared" si="0"/>
        <v>0</v>
      </c>
      <c r="P80" s="218">
        <f t="shared" si="1"/>
        <v>0</v>
      </c>
      <c r="Q80" s="59"/>
      <c r="R80" s="51"/>
      <c r="S80" s="65"/>
      <c r="T80" s="64"/>
      <c r="U80" s="67"/>
      <c r="V80" s="74"/>
      <c r="W80" s="6">
        <f>'CLIENT ENROLLMENT DISCHARGE '!M79</f>
        <v>0</v>
      </c>
      <c r="X80" s="76">
        <f>'CLIENT ENROLLMENT DISCHARGE '!L79</f>
        <v>0</v>
      </c>
      <c r="Y80" s="180"/>
    </row>
    <row r="81" spans="1:25" ht="50.1" customHeight="1" x14ac:dyDescent="0.25">
      <c r="A81" s="5">
        <v>66</v>
      </c>
      <c r="B81" s="10">
        <f>'CLIENT ENROLLMENT DISCHARGE '!B80</f>
        <v>0</v>
      </c>
      <c r="C81" s="4">
        <f>'CLIENT ENROLLMENT DISCHARGE '!C80</f>
        <v>0</v>
      </c>
      <c r="D81" s="52"/>
      <c r="E81" s="53"/>
      <c r="F81" s="52"/>
      <c r="G81" s="53"/>
      <c r="H81" s="63"/>
      <c r="I81" s="116"/>
      <c r="J81" s="3"/>
      <c r="K81" s="71"/>
      <c r="L81" s="53"/>
      <c r="M81" s="2"/>
      <c r="N81" s="1"/>
      <c r="O81" s="218">
        <f t="shared" ref="O81:O144" si="2">K81*N81</f>
        <v>0</v>
      </c>
      <c r="P81" s="218">
        <f t="shared" ref="P81:P144" si="3">O81</f>
        <v>0</v>
      </c>
      <c r="Q81" s="60"/>
      <c r="R81" s="52"/>
      <c r="S81" s="66"/>
      <c r="T81" s="65"/>
      <c r="U81" s="68"/>
      <c r="V81" s="75"/>
      <c r="W81" s="6">
        <f>'CLIENT ENROLLMENT DISCHARGE '!M80</f>
        <v>0</v>
      </c>
      <c r="X81" s="76">
        <f>'CLIENT ENROLLMENT DISCHARGE '!L80</f>
        <v>0</v>
      </c>
      <c r="Y81" s="180"/>
    </row>
    <row r="82" spans="1:25" ht="50.1" customHeight="1" x14ac:dyDescent="0.25">
      <c r="A82" s="5">
        <v>67</v>
      </c>
      <c r="B82" s="10">
        <f>'CLIENT ENROLLMENT DISCHARGE '!B81</f>
        <v>0</v>
      </c>
      <c r="C82" s="4">
        <f>'CLIENT ENROLLMENT DISCHARGE '!C81</f>
        <v>0</v>
      </c>
      <c r="D82" s="51"/>
      <c r="E82" s="52"/>
      <c r="F82" s="51"/>
      <c r="G82" s="52"/>
      <c r="H82" s="62"/>
      <c r="I82" s="115"/>
      <c r="J82" s="143"/>
      <c r="K82" s="70"/>
      <c r="L82" s="52"/>
      <c r="M82" s="8"/>
      <c r="N82" s="7"/>
      <c r="O82" s="218">
        <f t="shared" si="2"/>
        <v>0</v>
      </c>
      <c r="P82" s="218">
        <f t="shared" si="3"/>
        <v>0</v>
      </c>
      <c r="Q82" s="59"/>
      <c r="R82" s="51"/>
      <c r="S82" s="65"/>
      <c r="T82" s="64"/>
      <c r="U82" s="67"/>
      <c r="V82" s="74"/>
      <c r="W82" s="6">
        <f>'CLIENT ENROLLMENT DISCHARGE '!M81</f>
        <v>0</v>
      </c>
      <c r="X82" s="76">
        <f>'CLIENT ENROLLMENT DISCHARGE '!L81</f>
        <v>0</v>
      </c>
      <c r="Y82" s="180"/>
    </row>
    <row r="83" spans="1:25" ht="50.1" customHeight="1" x14ac:dyDescent="0.25">
      <c r="A83" s="5">
        <v>68</v>
      </c>
      <c r="B83" s="10">
        <f>'CLIENT ENROLLMENT DISCHARGE '!B82</f>
        <v>0</v>
      </c>
      <c r="C83" s="4">
        <f>'CLIENT ENROLLMENT DISCHARGE '!C82</f>
        <v>0</v>
      </c>
      <c r="D83" s="52"/>
      <c r="E83" s="53"/>
      <c r="F83" s="52"/>
      <c r="G83" s="53"/>
      <c r="H83" s="63"/>
      <c r="I83" s="116"/>
      <c r="J83" s="144"/>
      <c r="K83" s="71"/>
      <c r="L83" s="53"/>
      <c r="M83" s="2"/>
      <c r="N83" s="1"/>
      <c r="O83" s="218">
        <f t="shared" si="2"/>
        <v>0</v>
      </c>
      <c r="P83" s="218">
        <f t="shared" si="3"/>
        <v>0</v>
      </c>
      <c r="Q83" s="60"/>
      <c r="R83" s="52"/>
      <c r="S83" s="66"/>
      <c r="T83" s="65"/>
      <c r="U83" s="68"/>
      <c r="V83" s="59"/>
      <c r="W83" s="6">
        <f>'CLIENT ENROLLMENT DISCHARGE '!M82</f>
        <v>0</v>
      </c>
      <c r="X83" s="76">
        <f>'CLIENT ENROLLMENT DISCHARGE '!L82</f>
        <v>0</v>
      </c>
      <c r="Y83" s="180"/>
    </row>
    <row r="84" spans="1:25" ht="50.1" customHeight="1" x14ac:dyDescent="0.25">
      <c r="A84" s="5">
        <v>69</v>
      </c>
      <c r="B84" s="10">
        <f>'CLIENT ENROLLMENT DISCHARGE '!B83</f>
        <v>0</v>
      </c>
      <c r="C84" s="4">
        <f>'CLIENT ENROLLMENT DISCHARGE '!C83</f>
        <v>0</v>
      </c>
      <c r="D84" s="51"/>
      <c r="E84" s="52"/>
      <c r="F84" s="51"/>
      <c r="G84" s="52"/>
      <c r="H84" s="62"/>
      <c r="I84" s="115"/>
      <c r="J84" s="143"/>
      <c r="K84" s="70"/>
      <c r="L84" s="52"/>
      <c r="M84" s="8"/>
      <c r="N84" s="7"/>
      <c r="O84" s="218">
        <f t="shared" si="2"/>
        <v>0</v>
      </c>
      <c r="P84" s="218">
        <f t="shared" si="3"/>
        <v>0</v>
      </c>
      <c r="Q84" s="59"/>
      <c r="R84" s="51"/>
      <c r="S84" s="65"/>
      <c r="T84" s="64"/>
      <c r="U84" s="67"/>
      <c r="V84" s="74"/>
      <c r="W84" s="6">
        <f>'CLIENT ENROLLMENT DISCHARGE '!M83</f>
        <v>0</v>
      </c>
      <c r="X84" s="76">
        <f>'CLIENT ENROLLMENT DISCHARGE '!L83</f>
        <v>0</v>
      </c>
      <c r="Y84" s="180"/>
    </row>
    <row r="85" spans="1:25" ht="50.1" customHeight="1" x14ac:dyDescent="0.25">
      <c r="A85" s="5">
        <v>70</v>
      </c>
      <c r="B85" s="10">
        <f>'CLIENT ENROLLMENT DISCHARGE '!B84</f>
        <v>0</v>
      </c>
      <c r="C85" s="4">
        <f>'CLIENT ENROLLMENT DISCHARGE '!C84</f>
        <v>0</v>
      </c>
      <c r="D85" s="52"/>
      <c r="E85" s="53"/>
      <c r="F85" s="52"/>
      <c r="G85" s="53"/>
      <c r="H85" s="63"/>
      <c r="I85" s="116"/>
      <c r="J85" s="144"/>
      <c r="K85" s="71"/>
      <c r="L85" s="53"/>
      <c r="M85" s="2"/>
      <c r="N85" s="1"/>
      <c r="O85" s="218">
        <f t="shared" si="2"/>
        <v>0</v>
      </c>
      <c r="P85" s="218">
        <f t="shared" si="3"/>
        <v>0</v>
      </c>
      <c r="Q85" s="60"/>
      <c r="R85" s="52"/>
      <c r="S85" s="66"/>
      <c r="T85" s="65"/>
      <c r="U85" s="68"/>
      <c r="V85" s="59"/>
      <c r="W85" s="6">
        <f>'CLIENT ENROLLMENT DISCHARGE '!M84</f>
        <v>0</v>
      </c>
      <c r="X85" s="76">
        <f>'CLIENT ENROLLMENT DISCHARGE '!L84</f>
        <v>0</v>
      </c>
      <c r="Y85" s="180"/>
    </row>
    <row r="86" spans="1:25" ht="50.1" customHeight="1" x14ac:dyDescent="0.25">
      <c r="A86" s="5">
        <v>71</v>
      </c>
      <c r="B86" s="10">
        <f>'CLIENT ENROLLMENT DISCHARGE '!B85</f>
        <v>0</v>
      </c>
      <c r="C86" s="4">
        <f>'CLIENT ENROLLMENT DISCHARGE '!C85</f>
        <v>0</v>
      </c>
      <c r="D86" s="51"/>
      <c r="E86" s="52"/>
      <c r="F86" s="51"/>
      <c r="G86" s="52"/>
      <c r="H86" s="62"/>
      <c r="I86" s="115"/>
      <c r="J86" s="143"/>
      <c r="K86" s="70"/>
      <c r="L86" s="52"/>
      <c r="M86" s="8"/>
      <c r="N86" s="7"/>
      <c r="O86" s="218">
        <f t="shared" si="2"/>
        <v>0</v>
      </c>
      <c r="P86" s="218">
        <f t="shared" si="3"/>
        <v>0</v>
      </c>
      <c r="Q86" s="59"/>
      <c r="R86" s="51"/>
      <c r="S86" s="65"/>
      <c r="T86" s="64"/>
      <c r="U86" s="67"/>
      <c r="V86" s="74"/>
      <c r="W86" s="6">
        <f>'CLIENT ENROLLMENT DISCHARGE '!M85</f>
        <v>0</v>
      </c>
      <c r="X86" s="76">
        <f>'CLIENT ENROLLMENT DISCHARGE '!L85</f>
        <v>0</v>
      </c>
      <c r="Y86" s="180"/>
    </row>
    <row r="87" spans="1:25" ht="50.1" customHeight="1" x14ac:dyDescent="0.25">
      <c r="A87" s="5">
        <v>72</v>
      </c>
      <c r="B87" s="10">
        <f>'CLIENT ENROLLMENT DISCHARGE '!B86</f>
        <v>0</v>
      </c>
      <c r="C87" s="4">
        <f>'CLIENT ENROLLMENT DISCHARGE '!C86</f>
        <v>0</v>
      </c>
      <c r="D87" s="52"/>
      <c r="E87" s="53"/>
      <c r="F87" s="52"/>
      <c r="G87" s="53"/>
      <c r="H87" s="63"/>
      <c r="I87" s="116"/>
      <c r="J87" s="144"/>
      <c r="K87" s="71"/>
      <c r="L87" s="53"/>
      <c r="M87" s="2"/>
      <c r="N87" s="1"/>
      <c r="O87" s="218">
        <f t="shared" si="2"/>
        <v>0</v>
      </c>
      <c r="P87" s="218">
        <f t="shared" si="3"/>
        <v>0</v>
      </c>
      <c r="Q87" s="60"/>
      <c r="R87" s="52"/>
      <c r="S87" s="66"/>
      <c r="T87" s="65"/>
      <c r="U87" s="68"/>
      <c r="V87" s="59"/>
      <c r="W87" s="6">
        <f>'CLIENT ENROLLMENT DISCHARGE '!M86</f>
        <v>0</v>
      </c>
      <c r="X87" s="76">
        <f>'CLIENT ENROLLMENT DISCHARGE '!L86</f>
        <v>0</v>
      </c>
      <c r="Y87" s="180"/>
    </row>
    <row r="88" spans="1:25" ht="50.1" customHeight="1" x14ac:dyDescent="0.25">
      <c r="A88" s="5">
        <v>73</v>
      </c>
      <c r="B88" s="10">
        <f>'CLIENT ENROLLMENT DISCHARGE '!B87</f>
        <v>0</v>
      </c>
      <c r="C88" s="4">
        <f>'CLIENT ENROLLMENT DISCHARGE '!C87</f>
        <v>0</v>
      </c>
      <c r="D88" s="51"/>
      <c r="E88" s="52"/>
      <c r="F88" s="51"/>
      <c r="G88" s="52"/>
      <c r="H88" s="62"/>
      <c r="I88" s="115"/>
      <c r="J88" s="143"/>
      <c r="K88" s="70"/>
      <c r="L88" s="52"/>
      <c r="M88" s="8"/>
      <c r="N88" s="7"/>
      <c r="O88" s="218">
        <f t="shared" si="2"/>
        <v>0</v>
      </c>
      <c r="P88" s="218">
        <f t="shared" si="3"/>
        <v>0</v>
      </c>
      <c r="Q88" s="59"/>
      <c r="R88" s="51"/>
      <c r="S88" s="65"/>
      <c r="T88" s="64"/>
      <c r="U88" s="67"/>
      <c r="V88" s="74"/>
      <c r="W88" s="6">
        <f>'CLIENT ENROLLMENT DISCHARGE '!M87</f>
        <v>0</v>
      </c>
      <c r="X88" s="76">
        <f>'CLIENT ENROLLMENT DISCHARGE '!L87</f>
        <v>0</v>
      </c>
      <c r="Y88" s="180"/>
    </row>
    <row r="89" spans="1:25" ht="50.1" customHeight="1" x14ac:dyDescent="0.25">
      <c r="A89" s="5">
        <v>74</v>
      </c>
      <c r="B89" s="10">
        <f>'CLIENT ENROLLMENT DISCHARGE '!B88</f>
        <v>0</v>
      </c>
      <c r="C89" s="4">
        <f>'CLIENT ENROLLMENT DISCHARGE '!C88</f>
        <v>0</v>
      </c>
      <c r="D89" s="52"/>
      <c r="E89" s="53"/>
      <c r="F89" s="52"/>
      <c r="G89" s="53"/>
      <c r="H89" s="63"/>
      <c r="I89" s="116"/>
      <c r="J89" s="144"/>
      <c r="K89" s="71"/>
      <c r="L89" s="53"/>
      <c r="M89" s="2"/>
      <c r="N89" s="1"/>
      <c r="O89" s="218">
        <f t="shared" si="2"/>
        <v>0</v>
      </c>
      <c r="P89" s="218">
        <f t="shared" si="3"/>
        <v>0</v>
      </c>
      <c r="Q89" s="60"/>
      <c r="R89" s="52"/>
      <c r="S89" s="66"/>
      <c r="T89" s="65"/>
      <c r="U89" s="68"/>
      <c r="V89" s="59"/>
      <c r="W89" s="6">
        <f>'CLIENT ENROLLMENT DISCHARGE '!M88</f>
        <v>0</v>
      </c>
      <c r="X89" s="76">
        <f>'CLIENT ENROLLMENT DISCHARGE '!L88</f>
        <v>0</v>
      </c>
      <c r="Y89" s="180"/>
    </row>
    <row r="90" spans="1:25" ht="50.1" customHeight="1" x14ac:dyDescent="0.25">
      <c r="A90" s="5">
        <v>75</v>
      </c>
      <c r="B90" s="10">
        <f>'CLIENT ENROLLMENT DISCHARGE '!B89</f>
        <v>0</v>
      </c>
      <c r="C90" s="4">
        <f>'CLIENT ENROLLMENT DISCHARGE '!C89</f>
        <v>0</v>
      </c>
      <c r="D90" s="51"/>
      <c r="E90" s="52"/>
      <c r="F90" s="51"/>
      <c r="G90" s="52"/>
      <c r="H90" s="62"/>
      <c r="I90" s="115"/>
      <c r="J90" s="143"/>
      <c r="K90" s="70"/>
      <c r="L90" s="52"/>
      <c r="M90" s="8"/>
      <c r="N90" s="7"/>
      <c r="O90" s="218">
        <f t="shared" si="2"/>
        <v>0</v>
      </c>
      <c r="P90" s="218">
        <f t="shared" si="3"/>
        <v>0</v>
      </c>
      <c r="Q90" s="59"/>
      <c r="R90" s="51"/>
      <c r="S90" s="65"/>
      <c r="T90" s="64"/>
      <c r="U90" s="67"/>
      <c r="V90" s="74"/>
      <c r="W90" s="6">
        <f>'CLIENT ENROLLMENT DISCHARGE '!M89</f>
        <v>0</v>
      </c>
      <c r="X90" s="76">
        <f>'CLIENT ENROLLMENT DISCHARGE '!L89</f>
        <v>0</v>
      </c>
      <c r="Y90" s="180"/>
    </row>
    <row r="91" spans="1:25" ht="50.1" customHeight="1" x14ac:dyDescent="0.25">
      <c r="A91" s="5">
        <v>76</v>
      </c>
      <c r="B91" s="10">
        <f>'CLIENT ENROLLMENT DISCHARGE '!B90</f>
        <v>0</v>
      </c>
      <c r="C91" s="4">
        <f>'CLIENT ENROLLMENT DISCHARGE '!C90</f>
        <v>0</v>
      </c>
      <c r="D91" s="52"/>
      <c r="E91" s="53"/>
      <c r="F91" s="52"/>
      <c r="G91" s="53"/>
      <c r="H91" s="63"/>
      <c r="I91" s="116"/>
      <c r="J91" s="144"/>
      <c r="K91" s="71"/>
      <c r="L91" s="53"/>
      <c r="M91" s="2"/>
      <c r="N91" s="1"/>
      <c r="O91" s="218">
        <f t="shared" si="2"/>
        <v>0</v>
      </c>
      <c r="P91" s="218">
        <f t="shared" si="3"/>
        <v>0</v>
      </c>
      <c r="Q91" s="60"/>
      <c r="R91" s="52"/>
      <c r="S91" s="66"/>
      <c r="T91" s="65"/>
      <c r="U91" s="68"/>
      <c r="V91" s="75"/>
      <c r="W91" s="6">
        <f>'CLIENT ENROLLMENT DISCHARGE '!M90</f>
        <v>0</v>
      </c>
      <c r="X91" s="76">
        <f>'CLIENT ENROLLMENT DISCHARGE '!L90</f>
        <v>0</v>
      </c>
      <c r="Y91" s="180"/>
    </row>
    <row r="92" spans="1:25" ht="50.1" customHeight="1" x14ac:dyDescent="0.25">
      <c r="A92" s="5">
        <v>77</v>
      </c>
      <c r="B92" s="10">
        <f>'CLIENT ENROLLMENT DISCHARGE '!B91</f>
        <v>0</v>
      </c>
      <c r="C92" s="4">
        <f>'CLIENT ENROLLMENT DISCHARGE '!C91</f>
        <v>0</v>
      </c>
      <c r="D92" s="51"/>
      <c r="E92" s="52"/>
      <c r="F92" s="51"/>
      <c r="G92" s="52"/>
      <c r="H92" s="62"/>
      <c r="I92" s="115"/>
      <c r="J92" s="143"/>
      <c r="K92" s="70"/>
      <c r="L92" s="52"/>
      <c r="M92" s="8"/>
      <c r="N92" s="7"/>
      <c r="O92" s="218">
        <f t="shared" si="2"/>
        <v>0</v>
      </c>
      <c r="P92" s="218">
        <f t="shared" si="3"/>
        <v>0</v>
      </c>
      <c r="Q92" s="59"/>
      <c r="R92" s="51"/>
      <c r="S92" s="65"/>
      <c r="T92" s="64"/>
      <c r="U92" s="67"/>
      <c r="V92" s="74"/>
      <c r="W92" s="6">
        <f>'CLIENT ENROLLMENT DISCHARGE '!M91</f>
        <v>0</v>
      </c>
      <c r="X92" s="76">
        <f>'CLIENT ENROLLMENT DISCHARGE '!L91</f>
        <v>0</v>
      </c>
      <c r="Y92" s="180"/>
    </row>
    <row r="93" spans="1:25" ht="50.1" customHeight="1" x14ac:dyDescent="0.25">
      <c r="A93" s="5">
        <v>78</v>
      </c>
      <c r="B93" s="10">
        <f>'CLIENT ENROLLMENT DISCHARGE '!B92</f>
        <v>0</v>
      </c>
      <c r="C93" s="4">
        <f>'CLIENT ENROLLMENT DISCHARGE '!C92</f>
        <v>0</v>
      </c>
      <c r="D93" s="52"/>
      <c r="E93" s="53"/>
      <c r="F93" s="52"/>
      <c r="G93" s="53"/>
      <c r="H93" s="63"/>
      <c r="I93" s="116"/>
      <c r="J93" s="144"/>
      <c r="K93" s="71"/>
      <c r="L93" s="53"/>
      <c r="M93" s="2"/>
      <c r="N93" s="1"/>
      <c r="O93" s="218">
        <f t="shared" si="2"/>
        <v>0</v>
      </c>
      <c r="P93" s="218">
        <f t="shared" si="3"/>
        <v>0</v>
      </c>
      <c r="Q93" s="60"/>
      <c r="R93" s="52"/>
      <c r="S93" s="66"/>
      <c r="T93" s="65"/>
      <c r="U93" s="68"/>
      <c r="V93" s="59"/>
      <c r="W93" s="6">
        <f>'CLIENT ENROLLMENT DISCHARGE '!M92</f>
        <v>0</v>
      </c>
      <c r="X93" s="76">
        <f>'CLIENT ENROLLMENT DISCHARGE '!L92</f>
        <v>0</v>
      </c>
      <c r="Y93" s="180"/>
    </row>
    <row r="94" spans="1:25" ht="50.1" customHeight="1" x14ac:dyDescent="0.25">
      <c r="A94" s="5">
        <v>79</v>
      </c>
      <c r="B94" s="10">
        <f>'CLIENT ENROLLMENT DISCHARGE '!B93</f>
        <v>0</v>
      </c>
      <c r="C94" s="4">
        <f>'CLIENT ENROLLMENT DISCHARGE '!C93</f>
        <v>0</v>
      </c>
      <c r="D94" s="51"/>
      <c r="E94" s="52"/>
      <c r="F94" s="51"/>
      <c r="G94" s="52"/>
      <c r="H94" s="62"/>
      <c r="I94" s="115"/>
      <c r="J94" s="143"/>
      <c r="K94" s="70"/>
      <c r="L94" s="52"/>
      <c r="M94" s="8"/>
      <c r="N94" s="7"/>
      <c r="O94" s="218">
        <f t="shared" si="2"/>
        <v>0</v>
      </c>
      <c r="P94" s="218">
        <f t="shared" si="3"/>
        <v>0</v>
      </c>
      <c r="Q94" s="59"/>
      <c r="R94" s="51"/>
      <c r="S94" s="65"/>
      <c r="T94" s="64"/>
      <c r="U94" s="67"/>
      <c r="V94" s="74"/>
      <c r="W94" s="6">
        <f>'CLIENT ENROLLMENT DISCHARGE '!M93</f>
        <v>0</v>
      </c>
      <c r="X94" s="76">
        <f>'CLIENT ENROLLMENT DISCHARGE '!L93</f>
        <v>0</v>
      </c>
      <c r="Y94" s="180"/>
    </row>
    <row r="95" spans="1:25" ht="50.1" customHeight="1" x14ac:dyDescent="0.25">
      <c r="A95" s="5">
        <v>80</v>
      </c>
      <c r="B95" s="10">
        <f>'CLIENT ENROLLMENT DISCHARGE '!B94</f>
        <v>0</v>
      </c>
      <c r="C95" s="4">
        <f>'CLIENT ENROLLMENT DISCHARGE '!C94</f>
        <v>0</v>
      </c>
      <c r="D95" s="52"/>
      <c r="E95" s="53"/>
      <c r="F95" s="52"/>
      <c r="G95" s="53"/>
      <c r="H95" s="63"/>
      <c r="I95" s="116"/>
      <c r="J95" s="144"/>
      <c r="K95" s="71"/>
      <c r="L95" s="53"/>
      <c r="M95" s="2"/>
      <c r="N95" s="1"/>
      <c r="O95" s="218">
        <f t="shared" si="2"/>
        <v>0</v>
      </c>
      <c r="P95" s="218">
        <f t="shared" si="3"/>
        <v>0</v>
      </c>
      <c r="Q95" s="60"/>
      <c r="R95" s="52"/>
      <c r="S95" s="66"/>
      <c r="T95" s="65"/>
      <c r="U95" s="68"/>
      <c r="V95" s="59"/>
      <c r="W95" s="6">
        <f>'CLIENT ENROLLMENT DISCHARGE '!M94</f>
        <v>0</v>
      </c>
      <c r="X95" s="76">
        <f>'CLIENT ENROLLMENT DISCHARGE '!L94</f>
        <v>0</v>
      </c>
      <c r="Y95" s="180"/>
    </row>
    <row r="96" spans="1:25" ht="50.1" customHeight="1" x14ac:dyDescent="0.25">
      <c r="A96" s="5">
        <v>81</v>
      </c>
      <c r="B96" s="10">
        <f>'CLIENT ENROLLMENT DISCHARGE '!B95</f>
        <v>0</v>
      </c>
      <c r="C96" s="4">
        <f>'CLIENT ENROLLMENT DISCHARGE '!C95</f>
        <v>0</v>
      </c>
      <c r="D96" s="51"/>
      <c r="E96" s="52"/>
      <c r="F96" s="51"/>
      <c r="G96" s="52"/>
      <c r="H96" s="62"/>
      <c r="I96" s="115"/>
      <c r="J96" s="143"/>
      <c r="K96" s="70"/>
      <c r="L96" s="52"/>
      <c r="M96" s="8"/>
      <c r="N96" s="7"/>
      <c r="O96" s="218">
        <f t="shared" si="2"/>
        <v>0</v>
      </c>
      <c r="P96" s="218">
        <f t="shared" si="3"/>
        <v>0</v>
      </c>
      <c r="Q96" s="59"/>
      <c r="R96" s="51"/>
      <c r="S96" s="65"/>
      <c r="T96" s="64"/>
      <c r="U96" s="67"/>
      <c r="V96" s="74"/>
      <c r="W96" s="6">
        <f>'CLIENT ENROLLMENT DISCHARGE '!M95</f>
        <v>0</v>
      </c>
      <c r="X96" s="76">
        <f>'CLIENT ENROLLMENT DISCHARGE '!L95</f>
        <v>0</v>
      </c>
      <c r="Y96" s="180"/>
    </row>
    <row r="97" spans="1:25" ht="50.1" customHeight="1" x14ac:dyDescent="0.25">
      <c r="A97" s="5">
        <v>82</v>
      </c>
      <c r="B97" s="10">
        <f>'CLIENT ENROLLMENT DISCHARGE '!B96</f>
        <v>0</v>
      </c>
      <c r="C97" s="4">
        <f>'CLIENT ENROLLMENT DISCHARGE '!C96</f>
        <v>0</v>
      </c>
      <c r="D97" s="52"/>
      <c r="E97" s="53"/>
      <c r="F97" s="52"/>
      <c r="G97" s="53"/>
      <c r="H97" s="63"/>
      <c r="I97" s="116"/>
      <c r="J97" s="144"/>
      <c r="K97" s="71"/>
      <c r="L97" s="53"/>
      <c r="M97" s="2"/>
      <c r="N97" s="1"/>
      <c r="O97" s="218">
        <f t="shared" si="2"/>
        <v>0</v>
      </c>
      <c r="P97" s="218">
        <f t="shared" si="3"/>
        <v>0</v>
      </c>
      <c r="Q97" s="60"/>
      <c r="R97" s="52"/>
      <c r="S97" s="66"/>
      <c r="T97" s="65"/>
      <c r="U97" s="68"/>
      <c r="V97" s="59"/>
      <c r="W97" s="6">
        <f>'CLIENT ENROLLMENT DISCHARGE '!M96</f>
        <v>0</v>
      </c>
      <c r="X97" s="76">
        <f>'CLIENT ENROLLMENT DISCHARGE '!L96</f>
        <v>0</v>
      </c>
      <c r="Y97" s="180"/>
    </row>
    <row r="98" spans="1:25" ht="50.1" customHeight="1" x14ac:dyDescent="0.25">
      <c r="A98" s="5">
        <v>83</v>
      </c>
      <c r="B98" s="10">
        <f>'CLIENT ENROLLMENT DISCHARGE '!B97</f>
        <v>0</v>
      </c>
      <c r="C98" s="4">
        <f>'CLIENT ENROLLMENT DISCHARGE '!C97</f>
        <v>0</v>
      </c>
      <c r="D98" s="51"/>
      <c r="E98" s="52"/>
      <c r="F98" s="51"/>
      <c r="G98" s="52"/>
      <c r="H98" s="62"/>
      <c r="I98" s="115"/>
      <c r="J98" s="143"/>
      <c r="K98" s="70"/>
      <c r="L98" s="52"/>
      <c r="M98" s="8"/>
      <c r="N98" s="7"/>
      <c r="O98" s="218">
        <f t="shared" si="2"/>
        <v>0</v>
      </c>
      <c r="P98" s="218">
        <f t="shared" si="3"/>
        <v>0</v>
      </c>
      <c r="Q98" s="59"/>
      <c r="R98" s="51"/>
      <c r="S98" s="65"/>
      <c r="T98" s="64"/>
      <c r="U98" s="67"/>
      <c r="V98" s="74"/>
      <c r="W98" s="6">
        <f>'CLIENT ENROLLMENT DISCHARGE '!M97</f>
        <v>0</v>
      </c>
      <c r="X98" s="76">
        <f>'CLIENT ENROLLMENT DISCHARGE '!L97</f>
        <v>0</v>
      </c>
      <c r="Y98" s="180"/>
    </row>
    <row r="99" spans="1:25" ht="50.1" customHeight="1" x14ac:dyDescent="0.25">
      <c r="A99" s="5">
        <v>84</v>
      </c>
      <c r="B99" s="10">
        <f>'CLIENT ENROLLMENT DISCHARGE '!B98</f>
        <v>0</v>
      </c>
      <c r="C99" s="4">
        <f>'CLIENT ENROLLMENT DISCHARGE '!C98</f>
        <v>0</v>
      </c>
      <c r="D99" s="52"/>
      <c r="E99" s="53"/>
      <c r="F99" s="52"/>
      <c r="G99" s="53"/>
      <c r="H99" s="63"/>
      <c r="I99" s="116"/>
      <c r="J99" s="144"/>
      <c r="K99" s="71"/>
      <c r="L99" s="53"/>
      <c r="M99" s="2"/>
      <c r="N99" s="1"/>
      <c r="O99" s="218">
        <f t="shared" si="2"/>
        <v>0</v>
      </c>
      <c r="P99" s="218">
        <f t="shared" si="3"/>
        <v>0</v>
      </c>
      <c r="Q99" s="60"/>
      <c r="R99" s="52"/>
      <c r="S99" s="66"/>
      <c r="T99" s="65"/>
      <c r="U99" s="68"/>
      <c r="V99" s="59"/>
      <c r="W99" s="6">
        <f>'CLIENT ENROLLMENT DISCHARGE '!M98</f>
        <v>0</v>
      </c>
      <c r="X99" s="76">
        <f>'CLIENT ENROLLMENT DISCHARGE '!L98</f>
        <v>0</v>
      </c>
      <c r="Y99" s="180"/>
    </row>
    <row r="100" spans="1:25" ht="50.1" customHeight="1" x14ac:dyDescent="0.25">
      <c r="A100" s="5">
        <v>85</v>
      </c>
      <c r="B100" s="10">
        <f>'CLIENT ENROLLMENT DISCHARGE '!B99</f>
        <v>0</v>
      </c>
      <c r="C100" s="4">
        <f>'CLIENT ENROLLMENT DISCHARGE '!C99</f>
        <v>0</v>
      </c>
      <c r="D100" s="51"/>
      <c r="E100" s="52"/>
      <c r="F100" s="51"/>
      <c r="G100" s="52"/>
      <c r="H100" s="62"/>
      <c r="I100" s="115"/>
      <c r="J100" s="143"/>
      <c r="K100" s="70"/>
      <c r="L100" s="52"/>
      <c r="M100" s="8"/>
      <c r="N100" s="7"/>
      <c r="O100" s="218">
        <f t="shared" si="2"/>
        <v>0</v>
      </c>
      <c r="P100" s="218">
        <f t="shared" si="3"/>
        <v>0</v>
      </c>
      <c r="Q100" s="59"/>
      <c r="R100" s="51"/>
      <c r="S100" s="65"/>
      <c r="T100" s="64"/>
      <c r="U100" s="67"/>
      <c r="V100" s="74"/>
      <c r="W100" s="6">
        <f>'CLIENT ENROLLMENT DISCHARGE '!M99</f>
        <v>0</v>
      </c>
      <c r="X100" s="76">
        <f>'CLIENT ENROLLMENT DISCHARGE '!L99</f>
        <v>0</v>
      </c>
      <c r="Y100" s="180"/>
    </row>
    <row r="101" spans="1:25" ht="50.1" customHeight="1" x14ac:dyDescent="0.25">
      <c r="A101" s="5">
        <v>86</v>
      </c>
      <c r="B101" s="10">
        <f>'CLIENT ENROLLMENT DISCHARGE '!B100</f>
        <v>0</v>
      </c>
      <c r="C101" s="4">
        <f>'CLIENT ENROLLMENT DISCHARGE '!C100</f>
        <v>0</v>
      </c>
      <c r="D101" s="52"/>
      <c r="E101" s="53"/>
      <c r="F101" s="52"/>
      <c r="G101" s="53"/>
      <c r="H101" s="63"/>
      <c r="I101" s="116"/>
      <c r="J101" s="3"/>
      <c r="K101" s="71"/>
      <c r="L101" s="53"/>
      <c r="M101" s="2"/>
      <c r="N101" s="1"/>
      <c r="O101" s="218">
        <f t="shared" si="2"/>
        <v>0</v>
      </c>
      <c r="P101" s="218">
        <f t="shared" si="3"/>
        <v>0</v>
      </c>
      <c r="Q101" s="60"/>
      <c r="R101" s="52"/>
      <c r="S101" s="66"/>
      <c r="T101" s="65"/>
      <c r="U101" s="68"/>
      <c r="V101" s="75"/>
      <c r="W101" s="6">
        <f>'CLIENT ENROLLMENT DISCHARGE '!M100</f>
        <v>0</v>
      </c>
      <c r="X101" s="76">
        <f>'CLIENT ENROLLMENT DISCHARGE '!L100</f>
        <v>0</v>
      </c>
      <c r="Y101" s="180"/>
    </row>
    <row r="102" spans="1:25" ht="50.1" customHeight="1" x14ac:dyDescent="0.25">
      <c r="A102" s="5">
        <v>87</v>
      </c>
      <c r="B102" s="10">
        <f>'CLIENT ENROLLMENT DISCHARGE '!B101</f>
        <v>0</v>
      </c>
      <c r="C102" s="4">
        <f>'CLIENT ENROLLMENT DISCHARGE '!C101</f>
        <v>0</v>
      </c>
      <c r="D102" s="51"/>
      <c r="E102" s="52"/>
      <c r="F102" s="51"/>
      <c r="G102" s="52"/>
      <c r="H102" s="62"/>
      <c r="I102" s="115"/>
      <c r="J102" s="143"/>
      <c r="K102" s="70"/>
      <c r="L102" s="52"/>
      <c r="M102" s="8"/>
      <c r="N102" s="7"/>
      <c r="O102" s="218">
        <f t="shared" si="2"/>
        <v>0</v>
      </c>
      <c r="P102" s="218">
        <f t="shared" si="3"/>
        <v>0</v>
      </c>
      <c r="Q102" s="59"/>
      <c r="R102" s="51"/>
      <c r="S102" s="65"/>
      <c r="T102" s="64"/>
      <c r="U102" s="67"/>
      <c r="V102" s="74"/>
      <c r="W102" s="6">
        <f>'CLIENT ENROLLMENT DISCHARGE '!M101</f>
        <v>0</v>
      </c>
      <c r="X102" s="76">
        <f>'CLIENT ENROLLMENT DISCHARGE '!L101</f>
        <v>0</v>
      </c>
      <c r="Y102" s="180"/>
    </row>
    <row r="103" spans="1:25" ht="50.1" customHeight="1" x14ac:dyDescent="0.25">
      <c r="A103" s="5">
        <v>88</v>
      </c>
      <c r="B103" s="10">
        <f>'CLIENT ENROLLMENT DISCHARGE '!B102</f>
        <v>0</v>
      </c>
      <c r="C103" s="4">
        <f>'CLIENT ENROLLMENT DISCHARGE '!C102</f>
        <v>0</v>
      </c>
      <c r="D103" s="52"/>
      <c r="E103" s="53"/>
      <c r="F103" s="52"/>
      <c r="G103" s="53"/>
      <c r="H103" s="63"/>
      <c r="I103" s="116"/>
      <c r="J103" s="144"/>
      <c r="K103" s="71"/>
      <c r="L103" s="53"/>
      <c r="M103" s="2"/>
      <c r="N103" s="1"/>
      <c r="O103" s="218">
        <f t="shared" si="2"/>
        <v>0</v>
      </c>
      <c r="P103" s="218">
        <f t="shared" si="3"/>
        <v>0</v>
      </c>
      <c r="Q103" s="60"/>
      <c r="R103" s="52"/>
      <c r="S103" s="66"/>
      <c r="T103" s="65"/>
      <c r="U103" s="68"/>
      <c r="V103" s="59"/>
      <c r="W103" s="6">
        <f>'CLIENT ENROLLMENT DISCHARGE '!M102</f>
        <v>0</v>
      </c>
      <c r="X103" s="76">
        <f>'CLIENT ENROLLMENT DISCHARGE '!L102</f>
        <v>0</v>
      </c>
      <c r="Y103" s="180"/>
    </row>
    <row r="104" spans="1:25" ht="50.1" customHeight="1" x14ac:dyDescent="0.25">
      <c r="A104" s="5">
        <v>89</v>
      </c>
      <c r="B104" s="10">
        <f>'CLIENT ENROLLMENT DISCHARGE '!B103</f>
        <v>0</v>
      </c>
      <c r="C104" s="4">
        <f>'CLIENT ENROLLMENT DISCHARGE '!C103</f>
        <v>0</v>
      </c>
      <c r="D104" s="51"/>
      <c r="E104" s="52"/>
      <c r="F104" s="51"/>
      <c r="G104" s="52"/>
      <c r="H104" s="62"/>
      <c r="I104" s="115"/>
      <c r="J104" s="143"/>
      <c r="K104" s="70"/>
      <c r="L104" s="52"/>
      <c r="M104" s="8"/>
      <c r="N104" s="7"/>
      <c r="O104" s="218">
        <f t="shared" si="2"/>
        <v>0</v>
      </c>
      <c r="P104" s="218">
        <f t="shared" si="3"/>
        <v>0</v>
      </c>
      <c r="Q104" s="59"/>
      <c r="R104" s="51"/>
      <c r="S104" s="65"/>
      <c r="T104" s="64"/>
      <c r="U104" s="67"/>
      <c r="V104" s="74"/>
      <c r="W104" s="6">
        <f>'CLIENT ENROLLMENT DISCHARGE '!M103</f>
        <v>0</v>
      </c>
      <c r="X104" s="76">
        <f>'CLIENT ENROLLMENT DISCHARGE '!L103</f>
        <v>0</v>
      </c>
      <c r="Y104" s="180"/>
    </row>
    <row r="105" spans="1:25" ht="50.1" customHeight="1" x14ac:dyDescent="0.25">
      <c r="A105" s="5">
        <v>90</v>
      </c>
      <c r="B105" s="10">
        <f>'CLIENT ENROLLMENT DISCHARGE '!B104</f>
        <v>0</v>
      </c>
      <c r="C105" s="4">
        <f>'CLIENT ENROLLMENT DISCHARGE '!C104</f>
        <v>0</v>
      </c>
      <c r="D105" s="52"/>
      <c r="E105" s="53"/>
      <c r="F105" s="52"/>
      <c r="G105" s="53"/>
      <c r="H105" s="63"/>
      <c r="I105" s="116"/>
      <c r="J105" s="144"/>
      <c r="K105" s="71"/>
      <c r="L105" s="53"/>
      <c r="M105" s="2"/>
      <c r="N105" s="1"/>
      <c r="O105" s="218">
        <f t="shared" si="2"/>
        <v>0</v>
      </c>
      <c r="P105" s="218">
        <f t="shared" si="3"/>
        <v>0</v>
      </c>
      <c r="Q105" s="60"/>
      <c r="R105" s="52"/>
      <c r="S105" s="66"/>
      <c r="T105" s="65"/>
      <c r="U105" s="68"/>
      <c r="V105" s="59"/>
      <c r="W105" s="6">
        <f>'CLIENT ENROLLMENT DISCHARGE '!M104</f>
        <v>0</v>
      </c>
      <c r="X105" s="76">
        <f>'CLIENT ENROLLMENT DISCHARGE '!L104</f>
        <v>0</v>
      </c>
      <c r="Y105" s="180"/>
    </row>
    <row r="106" spans="1:25" ht="50.1" customHeight="1" x14ac:dyDescent="0.25">
      <c r="A106" s="5">
        <v>91</v>
      </c>
      <c r="B106" s="10">
        <f>'CLIENT ENROLLMENT DISCHARGE '!B105</f>
        <v>0</v>
      </c>
      <c r="C106" s="4">
        <f>'CLIENT ENROLLMENT DISCHARGE '!C105</f>
        <v>0</v>
      </c>
      <c r="D106" s="51"/>
      <c r="E106" s="52"/>
      <c r="F106" s="51"/>
      <c r="G106" s="52"/>
      <c r="H106" s="62"/>
      <c r="I106" s="115"/>
      <c r="J106" s="143"/>
      <c r="K106" s="70"/>
      <c r="L106" s="52"/>
      <c r="M106" s="8"/>
      <c r="N106" s="7"/>
      <c r="O106" s="218">
        <f t="shared" si="2"/>
        <v>0</v>
      </c>
      <c r="P106" s="218">
        <f t="shared" si="3"/>
        <v>0</v>
      </c>
      <c r="Q106" s="59"/>
      <c r="R106" s="51"/>
      <c r="S106" s="65"/>
      <c r="T106" s="64"/>
      <c r="U106" s="67"/>
      <c r="V106" s="74"/>
      <c r="W106" s="6">
        <f>'CLIENT ENROLLMENT DISCHARGE '!M105</f>
        <v>0</v>
      </c>
      <c r="X106" s="76">
        <f>'CLIENT ENROLLMENT DISCHARGE '!L105</f>
        <v>0</v>
      </c>
      <c r="Y106" s="180"/>
    </row>
    <row r="107" spans="1:25" ht="50.1" customHeight="1" x14ac:dyDescent="0.25">
      <c r="A107" s="5">
        <v>92</v>
      </c>
      <c r="B107" s="10">
        <f>'CLIENT ENROLLMENT DISCHARGE '!B106</f>
        <v>0</v>
      </c>
      <c r="C107" s="4">
        <f>'CLIENT ENROLLMENT DISCHARGE '!C106</f>
        <v>0</v>
      </c>
      <c r="D107" s="52"/>
      <c r="E107" s="53"/>
      <c r="F107" s="52"/>
      <c r="G107" s="53"/>
      <c r="H107" s="63"/>
      <c r="I107" s="116"/>
      <c r="J107" s="144"/>
      <c r="K107" s="71"/>
      <c r="L107" s="53"/>
      <c r="M107" s="2"/>
      <c r="N107" s="1"/>
      <c r="O107" s="218">
        <f t="shared" si="2"/>
        <v>0</v>
      </c>
      <c r="P107" s="218">
        <f t="shared" si="3"/>
        <v>0</v>
      </c>
      <c r="Q107" s="60"/>
      <c r="R107" s="52"/>
      <c r="S107" s="66"/>
      <c r="T107" s="65"/>
      <c r="U107" s="68"/>
      <c r="V107" s="59"/>
      <c r="W107" s="6">
        <f>'CLIENT ENROLLMENT DISCHARGE '!M106</f>
        <v>0</v>
      </c>
      <c r="X107" s="76">
        <f>'CLIENT ENROLLMENT DISCHARGE '!L106</f>
        <v>0</v>
      </c>
      <c r="Y107" s="180"/>
    </row>
    <row r="108" spans="1:25" ht="50.1" customHeight="1" x14ac:dyDescent="0.25">
      <c r="A108" s="5">
        <v>93</v>
      </c>
      <c r="B108" s="10">
        <f>'CLIENT ENROLLMENT DISCHARGE '!B107</f>
        <v>0</v>
      </c>
      <c r="C108" s="4">
        <f>'CLIENT ENROLLMENT DISCHARGE '!C107</f>
        <v>0</v>
      </c>
      <c r="D108" s="51"/>
      <c r="E108" s="52"/>
      <c r="F108" s="51"/>
      <c r="G108" s="52"/>
      <c r="H108" s="62"/>
      <c r="I108" s="115"/>
      <c r="J108" s="143"/>
      <c r="K108" s="70"/>
      <c r="L108" s="52"/>
      <c r="M108" s="8"/>
      <c r="N108" s="7"/>
      <c r="O108" s="218">
        <f t="shared" si="2"/>
        <v>0</v>
      </c>
      <c r="P108" s="218">
        <f t="shared" si="3"/>
        <v>0</v>
      </c>
      <c r="Q108" s="59"/>
      <c r="R108" s="51"/>
      <c r="S108" s="65"/>
      <c r="T108" s="64"/>
      <c r="U108" s="67"/>
      <c r="V108" s="74"/>
      <c r="W108" s="6">
        <f>'CLIENT ENROLLMENT DISCHARGE '!M107</f>
        <v>0</v>
      </c>
      <c r="X108" s="76">
        <f>'CLIENT ENROLLMENT DISCHARGE '!L107</f>
        <v>0</v>
      </c>
      <c r="Y108" s="180"/>
    </row>
    <row r="109" spans="1:25" ht="50.1" customHeight="1" x14ac:dyDescent="0.25">
      <c r="A109" s="5">
        <v>94</v>
      </c>
      <c r="B109" s="10">
        <f>'CLIENT ENROLLMENT DISCHARGE '!B108</f>
        <v>0</v>
      </c>
      <c r="C109" s="4">
        <f>'CLIENT ENROLLMENT DISCHARGE '!C108</f>
        <v>0</v>
      </c>
      <c r="D109" s="52"/>
      <c r="E109" s="53"/>
      <c r="F109" s="52"/>
      <c r="G109" s="53"/>
      <c r="H109" s="63"/>
      <c r="I109" s="116"/>
      <c r="J109" s="144"/>
      <c r="K109" s="71"/>
      <c r="L109" s="53"/>
      <c r="M109" s="2"/>
      <c r="N109" s="1"/>
      <c r="O109" s="218">
        <f t="shared" si="2"/>
        <v>0</v>
      </c>
      <c r="P109" s="218">
        <f t="shared" si="3"/>
        <v>0</v>
      </c>
      <c r="Q109" s="60"/>
      <c r="R109" s="52"/>
      <c r="S109" s="66"/>
      <c r="T109" s="65"/>
      <c r="U109" s="68"/>
      <c r="V109" s="59"/>
      <c r="W109" s="6">
        <f>'CLIENT ENROLLMENT DISCHARGE '!M108</f>
        <v>0</v>
      </c>
      <c r="X109" s="76">
        <f>'CLIENT ENROLLMENT DISCHARGE '!L108</f>
        <v>0</v>
      </c>
      <c r="Y109" s="180"/>
    </row>
    <row r="110" spans="1:25" ht="50.1" customHeight="1" x14ac:dyDescent="0.25">
      <c r="A110" s="5">
        <v>95</v>
      </c>
      <c r="B110" s="10">
        <f>'CLIENT ENROLLMENT DISCHARGE '!B109</f>
        <v>0</v>
      </c>
      <c r="C110" s="4">
        <f>'CLIENT ENROLLMENT DISCHARGE '!C109</f>
        <v>0</v>
      </c>
      <c r="D110" s="51"/>
      <c r="E110" s="52"/>
      <c r="F110" s="51"/>
      <c r="G110" s="52"/>
      <c r="H110" s="62"/>
      <c r="I110" s="115"/>
      <c r="J110" s="143"/>
      <c r="K110" s="70"/>
      <c r="L110" s="52"/>
      <c r="M110" s="8"/>
      <c r="N110" s="7"/>
      <c r="O110" s="218">
        <f t="shared" si="2"/>
        <v>0</v>
      </c>
      <c r="P110" s="218">
        <f t="shared" si="3"/>
        <v>0</v>
      </c>
      <c r="Q110" s="59"/>
      <c r="R110" s="51"/>
      <c r="S110" s="65"/>
      <c r="T110" s="64"/>
      <c r="U110" s="67"/>
      <c r="V110" s="74"/>
      <c r="W110" s="6">
        <f>'CLIENT ENROLLMENT DISCHARGE '!M109</f>
        <v>0</v>
      </c>
      <c r="X110" s="76">
        <f>'CLIENT ENROLLMENT DISCHARGE '!L109</f>
        <v>0</v>
      </c>
      <c r="Y110" s="180"/>
    </row>
    <row r="111" spans="1:25" ht="50.1" customHeight="1" x14ac:dyDescent="0.25">
      <c r="A111" s="5">
        <v>96</v>
      </c>
      <c r="B111" s="10">
        <f>'CLIENT ENROLLMENT DISCHARGE '!B110</f>
        <v>0</v>
      </c>
      <c r="C111" s="4">
        <f>'CLIENT ENROLLMENT DISCHARGE '!C110</f>
        <v>0</v>
      </c>
      <c r="D111" s="52"/>
      <c r="E111" s="53"/>
      <c r="F111" s="52"/>
      <c r="G111" s="53"/>
      <c r="H111" s="63"/>
      <c r="I111" s="116"/>
      <c r="J111" s="144"/>
      <c r="K111" s="71"/>
      <c r="L111" s="53"/>
      <c r="M111" s="2"/>
      <c r="N111" s="1"/>
      <c r="O111" s="218">
        <f t="shared" si="2"/>
        <v>0</v>
      </c>
      <c r="P111" s="218">
        <f t="shared" si="3"/>
        <v>0</v>
      </c>
      <c r="Q111" s="60"/>
      <c r="R111" s="52"/>
      <c r="S111" s="66"/>
      <c r="T111" s="65"/>
      <c r="U111" s="68"/>
      <c r="V111" s="75"/>
      <c r="W111" s="6">
        <f>'CLIENT ENROLLMENT DISCHARGE '!M110</f>
        <v>0</v>
      </c>
      <c r="X111" s="76">
        <f>'CLIENT ENROLLMENT DISCHARGE '!L110</f>
        <v>0</v>
      </c>
      <c r="Y111" s="180"/>
    </row>
    <row r="112" spans="1:25" ht="50.1" customHeight="1" x14ac:dyDescent="0.25">
      <c r="A112" s="5">
        <v>97</v>
      </c>
      <c r="B112" s="10">
        <f>'CLIENT ENROLLMENT DISCHARGE '!B111</f>
        <v>0</v>
      </c>
      <c r="C112" s="4">
        <f>'CLIENT ENROLLMENT DISCHARGE '!C111</f>
        <v>0</v>
      </c>
      <c r="D112" s="51"/>
      <c r="E112" s="52"/>
      <c r="F112" s="51"/>
      <c r="G112" s="52"/>
      <c r="H112" s="62"/>
      <c r="I112" s="115"/>
      <c r="J112" s="143"/>
      <c r="K112" s="70"/>
      <c r="L112" s="52"/>
      <c r="M112" s="8"/>
      <c r="N112" s="7"/>
      <c r="O112" s="218">
        <f t="shared" si="2"/>
        <v>0</v>
      </c>
      <c r="P112" s="218">
        <f t="shared" si="3"/>
        <v>0</v>
      </c>
      <c r="Q112" s="59"/>
      <c r="R112" s="51"/>
      <c r="S112" s="65"/>
      <c r="T112" s="64"/>
      <c r="U112" s="67"/>
      <c r="V112" s="74"/>
      <c r="W112" s="6">
        <f>'CLIENT ENROLLMENT DISCHARGE '!M111</f>
        <v>0</v>
      </c>
      <c r="X112" s="76">
        <f>'CLIENT ENROLLMENT DISCHARGE '!L111</f>
        <v>0</v>
      </c>
      <c r="Y112" s="180"/>
    </row>
    <row r="113" spans="1:25" ht="50.1" customHeight="1" x14ac:dyDescent="0.25">
      <c r="A113" s="5">
        <v>98</v>
      </c>
      <c r="B113" s="10">
        <f>'CLIENT ENROLLMENT DISCHARGE '!B112</f>
        <v>0</v>
      </c>
      <c r="C113" s="4">
        <f>'CLIENT ENROLLMENT DISCHARGE '!C112</f>
        <v>0</v>
      </c>
      <c r="D113" s="52"/>
      <c r="E113" s="53"/>
      <c r="F113" s="52"/>
      <c r="G113" s="53"/>
      <c r="H113" s="63"/>
      <c r="I113" s="116"/>
      <c r="J113" s="144"/>
      <c r="K113" s="71"/>
      <c r="L113" s="53"/>
      <c r="M113" s="2"/>
      <c r="N113" s="1"/>
      <c r="O113" s="218">
        <f t="shared" si="2"/>
        <v>0</v>
      </c>
      <c r="P113" s="218">
        <f t="shared" si="3"/>
        <v>0</v>
      </c>
      <c r="Q113" s="60"/>
      <c r="R113" s="52"/>
      <c r="S113" s="66"/>
      <c r="T113" s="65"/>
      <c r="U113" s="68"/>
      <c r="V113" s="59"/>
      <c r="W113" s="6">
        <f>'CLIENT ENROLLMENT DISCHARGE '!M112</f>
        <v>0</v>
      </c>
      <c r="X113" s="76">
        <f>'CLIENT ENROLLMENT DISCHARGE '!L112</f>
        <v>0</v>
      </c>
      <c r="Y113" s="180"/>
    </row>
    <row r="114" spans="1:25" ht="50.1" customHeight="1" x14ac:dyDescent="0.25">
      <c r="A114" s="5">
        <v>99</v>
      </c>
      <c r="B114" s="10">
        <f>'CLIENT ENROLLMENT DISCHARGE '!B113</f>
        <v>0</v>
      </c>
      <c r="C114" s="4">
        <f>'CLIENT ENROLLMENT DISCHARGE '!C113</f>
        <v>0</v>
      </c>
      <c r="D114" s="51"/>
      <c r="E114" s="52"/>
      <c r="F114" s="51"/>
      <c r="G114" s="52"/>
      <c r="H114" s="62"/>
      <c r="I114" s="115"/>
      <c r="J114" s="143"/>
      <c r="K114" s="70"/>
      <c r="L114" s="52"/>
      <c r="M114" s="8"/>
      <c r="N114" s="7"/>
      <c r="O114" s="218">
        <f t="shared" si="2"/>
        <v>0</v>
      </c>
      <c r="P114" s="218">
        <f t="shared" si="3"/>
        <v>0</v>
      </c>
      <c r="Q114" s="59"/>
      <c r="R114" s="51"/>
      <c r="S114" s="65"/>
      <c r="T114" s="64"/>
      <c r="U114" s="67"/>
      <c r="V114" s="74"/>
      <c r="W114" s="6">
        <f>'CLIENT ENROLLMENT DISCHARGE '!M113</f>
        <v>0</v>
      </c>
      <c r="X114" s="76">
        <f>'CLIENT ENROLLMENT DISCHARGE '!L113</f>
        <v>0</v>
      </c>
      <c r="Y114" s="180"/>
    </row>
    <row r="115" spans="1:25" ht="50.1" customHeight="1" x14ac:dyDescent="0.25">
      <c r="A115" s="5">
        <v>100</v>
      </c>
      <c r="B115" s="10">
        <f>'CLIENT ENROLLMENT DISCHARGE '!B114</f>
        <v>0</v>
      </c>
      <c r="C115" s="4">
        <f>'CLIENT ENROLLMENT DISCHARGE '!C114</f>
        <v>0</v>
      </c>
      <c r="D115" s="52"/>
      <c r="E115" s="53"/>
      <c r="F115" s="52"/>
      <c r="G115" s="53"/>
      <c r="H115" s="63"/>
      <c r="I115" s="116"/>
      <c r="J115" s="144"/>
      <c r="K115" s="71"/>
      <c r="L115" s="53"/>
      <c r="M115" s="2"/>
      <c r="N115" s="1"/>
      <c r="O115" s="218">
        <f t="shared" si="2"/>
        <v>0</v>
      </c>
      <c r="P115" s="218">
        <f t="shared" si="3"/>
        <v>0</v>
      </c>
      <c r="Q115" s="60"/>
      <c r="R115" s="52"/>
      <c r="S115" s="66"/>
      <c r="T115" s="65"/>
      <c r="U115" s="68"/>
      <c r="V115" s="59"/>
      <c r="W115" s="6">
        <f>'CLIENT ENROLLMENT DISCHARGE '!M114</f>
        <v>0</v>
      </c>
      <c r="X115" s="76">
        <f>'CLIENT ENROLLMENT DISCHARGE '!L114</f>
        <v>0</v>
      </c>
      <c r="Y115" s="180"/>
    </row>
    <row r="116" spans="1:25" ht="50.1" customHeight="1" x14ac:dyDescent="0.25">
      <c r="A116" s="5">
        <v>101</v>
      </c>
      <c r="B116" s="10">
        <f>'CLIENT ENROLLMENT DISCHARGE '!B115</f>
        <v>0</v>
      </c>
      <c r="C116" s="4">
        <f>'CLIENT ENROLLMENT DISCHARGE '!C115</f>
        <v>0</v>
      </c>
      <c r="D116" s="51"/>
      <c r="E116" s="52"/>
      <c r="F116" s="51"/>
      <c r="G116" s="52"/>
      <c r="H116" s="62"/>
      <c r="I116" s="115"/>
      <c r="J116" s="143"/>
      <c r="K116" s="70"/>
      <c r="L116" s="52"/>
      <c r="M116" s="8"/>
      <c r="N116" s="7"/>
      <c r="O116" s="218">
        <f t="shared" si="2"/>
        <v>0</v>
      </c>
      <c r="P116" s="218">
        <f t="shared" si="3"/>
        <v>0</v>
      </c>
      <c r="Q116" s="59"/>
      <c r="R116" s="51"/>
      <c r="S116" s="65"/>
      <c r="T116" s="64"/>
      <c r="U116" s="67"/>
      <c r="V116" s="74"/>
      <c r="W116" s="6">
        <f>'CLIENT ENROLLMENT DISCHARGE '!M115</f>
        <v>0</v>
      </c>
      <c r="X116" s="76">
        <f>'CLIENT ENROLLMENT DISCHARGE '!L115</f>
        <v>0</v>
      </c>
      <c r="Y116" s="180"/>
    </row>
    <row r="117" spans="1:25" ht="50.1" customHeight="1" x14ac:dyDescent="0.25">
      <c r="A117" s="5">
        <v>102</v>
      </c>
      <c r="B117" s="10">
        <f>'CLIENT ENROLLMENT DISCHARGE '!B116</f>
        <v>0</v>
      </c>
      <c r="C117" s="4">
        <f>'CLIENT ENROLLMENT DISCHARGE '!C116</f>
        <v>0</v>
      </c>
      <c r="D117" s="52"/>
      <c r="E117" s="53"/>
      <c r="F117" s="52"/>
      <c r="G117" s="53"/>
      <c r="H117" s="63"/>
      <c r="I117" s="116"/>
      <c r="J117" s="144"/>
      <c r="K117" s="71"/>
      <c r="L117" s="53"/>
      <c r="M117" s="2"/>
      <c r="N117" s="1"/>
      <c r="O117" s="218">
        <f t="shared" si="2"/>
        <v>0</v>
      </c>
      <c r="P117" s="218">
        <f t="shared" si="3"/>
        <v>0</v>
      </c>
      <c r="Q117" s="60"/>
      <c r="R117" s="52"/>
      <c r="S117" s="66"/>
      <c r="T117" s="65"/>
      <c r="U117" s="68"/>
      <c r="V117" s="59"/>
      <c r="W117" s="6">
        <f>'CLIENT ENROLLMENT DISCHARGE '!M116</f>
        <v>0</v>
      </c>
      <c r="X117" s="76">
        <f>'CLIENT ENROLLMENT DISCHARGE '!L116</f>
        <v>0</v>
      </c>
      <c r="Y117" s="180"/>
    </row>
    <row r="118" spans="1:25" ht="50.1" customHeight="1" x14ac:dyDescent="0.25">
      <c r="A118" s="5">
        <v>103</v>
      </c>
      <c r="B118" s="10">
        <f>'CLIENT ENROLLMENT DISCHARGE '!B117</f>
        <v>0</v>
      </c>
      <c r="C118" s="4">
        <f>'CLIENT ENROLLMENT DISCHARGE '!C117</f>
        <v>0</v>
      </c>
      <c r="D118" s="51"/>
      <c r="E118" s="52"/>
      <c r="F118" s="51"/>
      <c r="G118" s="52"/>
      <c r="H118" s="62"/>
      <c r="I118" s="115"/>
      <c r="J118" s="143"/>
      <c r="K118" s="70"/>
      <c r="L118" s="52"/>
      <c r="M118" s="8"/>
      <c r="N118" s="7"/>
      <c r="O118" s="218">
        <f t="shared" si="2"/>
        <v>0</v>
      </c>
      <c r="P118" s="218">
        <f t="shared" si="3"/>
        <v>0</v>
      </c>
      <c r="Q118" s="59"/>
      <c r="R118" s="51"/>
      <c r="S118" s="65"/>
      <c r="T118" s="64"/>
      <c r="U118" s="67"/>
      <c r="V118" s="74"/>
      <c r="W118" s="6">
        <f>'CLIENT ENROLLMENT DISCHARGE '!M117</f>
        <v>0</v>
      </c>
      <c r="X118" s="76">
        <f>'CLIENT ENROLLMENT DISCHARGE '!L117</f>
        <v>0</v>
      </c>
      <c r="Y118" s="180"/>
    </row>
    <row r="119" spans="1:25" ht="50.1" customHeight="1" x14ac:dyDescent="0.25">
      <c r="A119" s="5">
        <v>104</v>
      </c>
      <c r="B119" s="10">
        <f>'CLIENT ENROLLMENT DISCHARGE '!B118</f>
        <v>0</v>
      </c>
      <c r="C119" s="4">
        <f>'CLIENT ENROLLMENT DISCHARGE '!C118</f>
        <v>0</v>
      </c>
      <c r="D119" s="52"/>
      <c r="E119" s="53"/>
      <c r="F119" s="52"/>
      <c r="G119" s="53"/>
      <c r="H119" s="63"/>
      <c r="I119" s="116"/>
      <c r="J119" s="144"/>
      <c r="K119" s="71"/>
      <c r="L119" s="53"/>
      <c r="M119" s="2"/>
      <c r="N119" s="1"/>
      <c r="O119" s="218">
        <f t="shared" si="2"/>
        <v>0</v>
      </c>
      <c r="P119" s="218">
        <f t="shared" si="3"/>
        <v>0</v>
      </c>
      <c r="Q119" s="60"/>
      <c r="R119" s="52"/>
      <c r="S119" s="66"/>
      <c r="T119" s="65"/>
      <c r="U119" s="68"/>
      <c r="V119" s="59"/>
      <c r="W119" s="6">
        <f>'CLIENT ENROLLMENT DISCHARGE '!M118</f>
        <v>0</v>
      </c>
      <c r="X119" s="76">
        <f>'CLIENT ENROLLMENT DISCHARGE '!L118</f>
        <v>0</v>
      </c>
      <c r="Y119" s="180"/>
    </row>
    <row r="120" spans="1:25" ht="50.1" customHeight="1" x14ac:dyDescent="0.25">
      <c r="A120" s="5">
        <v>105</v>
      </c>
      <c r="B120" s="10">
        <f>'CLIENT ENROLLMENT DISCHARGE '!B119</f>
        <v>0</v>
      </c>
      <c r="C120" s="4">
        <f>'CLIENT ENROLLMENT DISCHARGE '!C119</f>
        <v>0</v>
      </c>
      <c r="D120" s="51"/>
      <c r="E120" s="52"/>
      <c r="F120" s="51"/>
      <c r="G120" s="52"/>
      <c r="H120" s="62"/>
      <c r="I120" s="115"/>
      <c r="J120" s="143"/>
      <c r="K120" s="70"/>
      <c r="L120" s="52"/>
      <c r="M120" s="8"/>
      <c r="N120" s="7"/>
      <c r="O120" s="218">
        <f t="shared" si="2"/>
        <v>0</v>
      </c>
      <c r="P120" s="218">
        <f t="shared" si="3"/>
        <v>0</v>
      </c>
      <c r="Q120" s="59"/>
      <c r="R120" s="51"/>
      <c r="S120" s="65"/>
      <c r="T120" s="64"/>
      <c r="U120" s="67"/>
      <c r="V120" s="74"/>
      <c r="W120" s="6">
        <f>'CLIENT ENROLLMENT DISCHARGE '!M119</f>
        <v>0</v>
      </c>
      <c r="X120" s="76">
        <f>'CLIENT ENROLLMENT DISCHARGE '!L119</f>
        <v>0</v>
      </c>
      <c r="Y120" s="180"/>
    </row>
    <row r="121" spans="1:25" ht="50.1" customHeight="1" x14ac:dyDescent="0.25">
      <c r="A121" s="5">
        <v>106</v>
      </c>
      <c r="B121" s="10">
        <f>'CLIENT ENROLLMENT DISCHARGE '!B120</f>
        <v>0</v>
      </c>
      <c r="C121" s="4">
        <f>'CLIENT ENROLLMENT DISCHARGE '!C120</f>
        <v>0</v>
      </c>
      <c r="D121" s="52"/>
      <c r="E121" s="53"/>
      <c r="F121" s="52"/>
      <c r="G121" s="53"/>
      <c r="H121" s="63"/>
      <c r="I121" s="116"/>
      <c r="J121" s="3"/>
      <c r="K121" s="71"/>
      <c r="L121" s="53"/>
      <c r="M121" s="2"/>
      <c r="N121" s="1"/>
      <c r="O121" s="218">
        <f t="shared" si="2"/>
        <v>0</v>
      </c>
      <c r="P121" s="218">
        <f t="shared" si="3"/>
        <v>0</v>
      </c>
      <c r="Q121" s="60"/>
      <c r="R121" s="52"/>
      <c r="S121" s="66"/>
      <c r="T121" s="65"/>
      <c r="U121" s="68"/>
      <c r="V121" s="75"/>
      <c r="W121" s="6">
        <f>'CLIENT ENROLLMENT DISCHARGE '!M120</f>
        <v>0</v>
      </c>
      <c r="X121" s="76">
        <f>'CLIENT ENROLLMENT DISCHARGE '!L120</f>
        <v>0</v>
      </c>
      <c r="Y121" s="180"/>
    </row>
    <row r="122" spans="1:25" ht="50.1" customHeight="1" x14ac:dyDescent="0.25">
      <c r="A122" s="5">
        <v>107</v>
      </c>
      <c r="B122" s="10">
        <f>'CLIENT ENROLLMENT DISCHARGE '!B121</f>
        <v>0</v>
      </c>
      <c r="C122" s="4">
        <f>'CLIENT ENROLLMENT DISCHARGE '!C121</f>
        <v>0</v>
      </c>
      <c r="D122" s="51"/>
      <c r="E122" s="52"/>
      <c r="F122" s="51"/>
      <c r="G122" s="52"/>
      <c r="H122" s="62"/>
      <c r="I122" s="115"/>
      <c r="J122" s="143"/>
      <c r="K122" s="70"/>
      <c r="L122" s="52"/>
      <c r="M122" s="8"/>
      <c r="N122" s="7"/>
      <c r="O122" s="218">
        <f t="shared" si="2"/>
        <v>0</v>
      </c>
      <c r="P122" s="218">
        <f t="shared" si="3"/>
        <v>0</v>
      </c>
      <c r="Q122" s="59"/>
      <c r="R122" s="51"/>
      <c r="S122" s="65"/>
      <c r="T122" s="64"/>
      <c r="U122" s="67"/>
      <c r="V122" s="74"/>
      <c r="W122" s="6">
        <f>'CLIENT ENROLLMENT DISCHARGE '!M121</f>
        <v>0</v>
      </c>
      <c r="X122" s="76">
        <f>'CLIENT ENROLLMENT DISCHARGE '!L121</f>
        <v>0</v>
      </c>
      <c r="Y122" s="180"/>
    </row>
    <row r="123" spans="1:25" ht="50.1" customHeight="1" x14ac:dyDescent="0.25">
      <c r="A123" s="5">
        <v>108</v>
      </c>
      <c r="B123" s="10">
        <f>'CLIENT ENROLLMENT DISCHARGE '!B122</f>
        <v>0</v>
      </c>
      <c r="C123" s="4">
        <f>'CLIENT ENROLLMENT DISCHARGE '!C122</f>
        <v>0</v>
      </c>
      <c r="D123" s="52"/>
      <c r="E123" s="53"/>
      <c r="F123" s="52"/>
      <c r="G123" s="53"/>
      <c r="H123" s="63"/>
      <c r="I123" s="116"/>
      <c r="J123" s="144"/>
      <c r="K123" s="71"/>
      <c r="L123" s="53"/>
      <c r="M123" s="2"/>
      <c r="N123" s="1"/>
      <c r="O123" s="218">
        <f t="shared" si="2"/>
        <v>0</v>
      </c>
      <c r="P123" s="218">
        <f t="shared" si="3"/>
        <v>0</v>
      </c>
      <c r="Q123" s="60"/>
      <c r="R123" s="52"/>
      <c r="S123" s="66"/>
      <c r="T123" s="65"/>
      <c r="U123" s="68"/>
      <c r="V123" s="59"/>
      <c r="W123" s="6">
        <f>'CLIENT ENROLLMENT DISCHARGE '!M122</f>
        <v>0</v>
      </c>
      <c r="X123" s="76">
        <f>'CLIENT ENROLLMENT DISCHARGE '!L122</f>
        <v>0</v>
      </c>
      <c r="Y123" s="180"/>
    </row>
    <row r="124" spans="1:25" ht="50.1" customHeight="1" x14ac:dyDescent="0.25">
      <c r="A124" s="5">
        <v>109</v>
      </c>
      <c r="B124" s="10">
        <f>'CLIENT ENROLLMENT DISCHARGE '!B123</f>
        <v>0</v>
      </c>
      <c r="C124" s="4">
        <f>'CLIENT ENROLLMENT DISCHARGE '!C123</f>
        <v>0</v>
      </c>
      <c r="D124" s="51"/>
      <c r="E124" s="52"/>
      <c r="F124" s="51"/>
      <c r="G124" s="52"/>
      <c r="H124" s="62"/>
      <c r="I124" s="115"/>
      <c r="J124" s="143"/>
      <c r="K124" s="70"/>
      <c r="L124" s="52"/>
      <c r="M124" s="8"/>
      <c r="N124" s="7"/>
      <c r="O124" s="218">
        <f t="shared" si="2"/>
        <v>0</v>
      </c>
      <c r="P124" s="218">
        <f t="shared" si="3"/>
        <v>0</v>
      </c>
      <c r="Q124" s="59"/>
      <c r="R124" s="51"/>
      <c r="S124" s="65"/>
      <c r="T124" s="64"/>
      <c r="U124" s="67"/>
      <c r="V124" s="74"/>
      <c r="W124" s="6">
        <f>'CLIENT ENROLLMENT DISCHARGE '!M123</f>
        <v>0</v>
      </c>
      <c r="X124" s="76">
        <f>'CLIENT ENROLLMENT DISCHARGE '!L123</f>
        <v>0</v>
      </c>
      <c r="Y124" s="180"/>
    </row>
    <row r="125" spans="1:25" ht="50.1" customHeight="1" x14ac:dyDescent="0.25">
      <c r="A125" s="5">
        <v>110</v>
      </c>
      <c r="B125" s="10">
        <f>'CLIENT ENROLLMENT DISCHARGE '!B124</f>
        <v>0</v>
      </c>
      <c r="C125" s="4">
        <f>'CLIENT ENROLLMENT DISCHARGE '!C124</f>
        <v>0</v>
      </c>
      <c r="D125" s="52"/>
      <c r="E125" s="53"/>
      <c r="F125" s="52"/>
      <c r="G125" s="53"/>
      <c r="H125" s="63"/>
      <c r="I125" s="116"/>
      <c r="J125" s="144"/>
      <c r="K125" s="71"/>
      <c r="L125" s="53"/>
      <c r="M125" s="2"/>
      <c r="N125" s="1"/>
      <c r="O125" s="218">
        <f t="shared" si="2"/>
        <v>0</v>
      </c>
      <c r="P125" s="218">
        <f t="shared" si="3"/>
        <v>0</v>
      </c>
      <c r="Q125" s="60"/>
      <c r="R125" s="52"/>
      <c r="S125" s="66"/>
      <c r="T125" s="65"/>
      <c r="U125" s="68"/>
      <c r="V125" s="59"/>
      <c r="W125" s="6">
        <f>'CLIENT ENROLLMENT DISCHARGE '!M124</f>
        <v>0</v>
      </c>
      <c r="X125" s="76">
        <f>'CLIENT ENROLLMENT DISCHARGE '!L124</f>
        <v>0</v>
      </c>
      <c r="Y125" s="180"/>
    </row>
    <row r="126" spans="1:25" ht="50.1" customHeight="1" x14ac:dyDescent="0.25">
      <c r="A126" s="5">
        <v>111</v>
      </c>
      <c r="B126" s="10">
        <f>'CLIENT ENROLLMENT DISCHARGE '!B125</f>
        <v>0</v>
      </c>
      <c r="C126" s="4">
        <f>'CLIENT ENROLLMENT DISCHARGE '!C125</f>
        <v>0</v>
      </c>
      <c r="D126" s="51"/>
      <c r="E126" s="52"/>
      <c r="F126" s="51"/>
      <c r="G126" s="52"/>
      <c r="H126" s="62"/>
      <c r="I126" s="115"/>
      <c r="J126" s="143"/>
      <c r="K126" s="70"/>
      <c r="L126" s="52"/>
      <c r="M126" s="8"/>
      <c r="N126" s="7"/>
      <c r="O126" s="218">
        <f t="shared" si="2"/>
        <v>0</v>
      </c>
      <c r="P126" s="218">
        <f t="shared" si="3"/>
        <v>0</v>
      </c>
      <c r="Q126" s="59"/>
      <c r="R126" s="51"/>
      <c r="S126" s="65"/>
      <c r="T126" s="64"/>
      <c r="U126" s="67"/>
      <c r="V126" s="74"/>
      <c r="W126" s="6">
        <f>'CLIENT ENROLLMENT DISCHARGE '!M125</f>
        <v>0</v>
      </c>
      <c r="X126" s="76">
        <f>'CLIENT ENROLLMENT DISCHARGE '!L125</f>
        <v>0</v>
      </c>
      <c r="Y126" s="180"/>
    </row>
    <row r="127" spans="1:25" ht="50.1" customHeight="1" x14ac:dyDescent="0.25">
      <c r="A127" s="5">
        <v>112</v>
      </c>
      <c r="B127" s="10">
        <f>'CLIENT ENROLLMENT DISCHARGE '!B126</f>
        <v>0</v>
      </c>
      <c r="C127" s="4">
        <f>'CLIENT ENROLLMENT DISCHARGE '!C126</f>
        <v>0</v>
      </c>
      <c r="D127" s="52"/>
      <c r="E127" s="53"/>
      <c r="F127" s="52"/>
      <c r="G127" s="53"/>
      <c r="H127" s="63"/>
      <c r="I127" s="116"/>
      <c r="J127" s="144"/>
      <c r="K127" s="71"/>
      <c r="L127" s="53"/>
      <c r="M127" s="2"/>
      <c r="N127" s="1"/>
      <c r="O127" s="218">
        <f t="shared" si="2"/>
        <v>0</v>
      </c>
      <c r="P127" s="218">
        <f t="shared" si="3"/>
        <v>0</v>
      </c>
      <c r="Q127" s="60"/>
      <c r="R127" s="52"/>
      <c r="S127" s="66"/>
      <c r="T127" s="65"/>
      <c r="U127" s="68"/>
      <c r="V127" s="59"/>
      <c r="W127" s="6">
        <f>'CLIENT ENROLLMENT DISCHARGE '!M126</f>
        <v>0</v>
      </c>
      <c r="X127" s="76">
        <f>'CLIENT ENROLLMENT DISCHARGE '!L126</f>
        <v>0</v>
      </c>
      <c r="Y127" s="180"/>
    </row>
    <row r="128" spans="1:25" ht="50.1" customHeight="1" x14ac:dyDescent="0.25">
      <c r="A128" s="5">
        <v>113</v>
      </c>
      <c r="B128" s="10">
        <f>'CLIENT ENROLLMENT DISCHARGE '!B127</f>
        <v>0</v>
      </c>
      <c r="C128" s="4">
        <f>'CLIENT ENROLLMENT DISCHARGE '!C127</f>
        <v>0</v>
      </c>
      <c r="D128" s="51"/>
      <c r="E128" s="52"/>
      <c r="F128" s="51"/>
      <c r="G128" s="52"/>
      <c r="H128" s="62"/>
      <c r="I128" s="115"/>
      <c r="J128" s="143"/>
      <c r="K128" s="70"/>
      <c r="L128" s="52"/>
      <c r="M128" s="8"/>
      <c r="N128" s="7"/>
      <c r="O128" s="218">
        <f t="shared" si="2"/>
        <v>0</v>
      </c>
      <c r="P128" s="218">
        <f t="shared" si="3"/>
        <v>0</v>
      </c>
      <c r="Q128" s="59"/>
      <c r="R128" s="51"/>
      <c r="S128" s="65"/>
      <c r="T128" s="64"/>
      <c r="U128" s="67"/>
      <c r="V128" s="74"/>
      <c r="W128" s="6">
        <f>'CLIENT ENROLLMENT DISCHARGE '!M127</f>
        <v>0</v>
      </c>
      <c r="X128" s="76">
        <f>'CLIENT ENROLLMENT DISCHARGE '!L127</f>
        <v>0</v>
      </c>
      <c r="Y128" s="180"/>
    </row>
    <row r="129" spans="1:25" ht="50.1" customHeight="1" x14ac:dyDescent="0.25">
      <c r="A129" s="5">
        <v>114</v>
      </c>
      <c r="B129" s="10">
        <f>'CLIENT ENROLLMENT DISCHARGE '!B128</f>
        <v>0</v>
      </c>
      <c r="C129" s="4">
        <f>'CLIENT ENROLLMENT DISCHARGE '!C128</f>
        <v>0</v>
      </c>
      <c r="D129" s="52"/>
      <c r="E129" s="53"/>
      <c r="F129" s="52"/>
      <c r="G129" s="53"/>
      <c r="H129" s="63"/>
      <c r="I129" s="116"/>
      <c r="J129" s="144"/>
      <c r="K129" s="71"/>
      <c r="L129" s="53"/>
      <c r="M129" s="2"/>
      <c r="N129" s="1"/>
      <c r="O129" s="218">
        <f t="shared" si="2"/>
        <v>0</v>
      </c>
      <c r="P129" s="218">
        <f t="shared" si="3"/>
        <v>0</v>
      </c>
      <c r="Q129" s="60"/>
      <c r="R129" s="52"/>
      <c r="S129" s="66"/>
      <c r="T129" s="65"/>
      <c r="U129" s="68"/>
      <c r="V129" s="59"/>
      <c r="W129" s="6">
        <f>'CLIENT ENROLLMENT DISCHARGE '!M128</f>
        <v>0</v>
      </c>
      <c r="X129" s="76">
        <f>'CLIENT ENROLLMENT DISCHARGE '!L128</f>
        <v>0</v>
      </c>
      <c r="Y129" s="180"/>
    </row>
    <row r="130" spans="1:25" ht="50.1" customHeight="1" x14ac:dyDescent="0.25">
      <c r="A130" s="5">
        <v>115</v>
      </c>
      <c r="B130" s="10">
        <f>'CLIENT ENROLLMENT DISCHARGE '!B129</f>
        <v>0</v>
      </c>
      <c r="C130" s="4">
        <f>'CLIENT ENROLLMENT DISCHARGE '!C129</f>
        <v>0</v>
      </c>
      <c r="D130" s="51"/>
      <c r="E130" s="52"/>
      <c r="F130" s="51"/>
      <c r="G130" s="52"/>
      <c r="H130" s="62"/>
      <c r="I130" s="115"/>
      <c r="J130" s="143"/>
      <c r="K130" s="70"/>
      <c r="L130" s="52"/>
      <c r="M130" s="8"/>
      <c r="N130" s="7"/>
      <c r="O130" s="218">
        <f t="shared" si="2"/>
        <v>0</v>
      </c>
      <c r="P130" s="218">
        <f t="shared" si="3"/>
        <v>0</v>
      </c>
      <c r="Q130" s="59"/>
      <c r="R130" s="51"/>
      <c r="S130" s="65"/>
      <c r="T130" s="64"/>
      <c r="U130" s="67"/>
      <c r="V130" s="74"/>
      <c r="W130" s="6">
        <f>'CLIENT ENROLLMENT DISCHARGE '!M129</f>
        <v>0</v>
      </c>
      <c r="X130" s="76">
        <f>'CLIENT ENROLLMENT DISCHARGE '!L129</f>
        <v>0</v>
      </c>
      <c r="Y130" s="180"/>
    </row>
    <row r="131" spans="1:25" ht="50.1" customHeight="1" x14ac:dyDescent="0.25">
      <c r="A131" s="5">
        <v>116</v>
      </c>
      <c r="B131" s="10">
        <f>'CLIENT ENROLLMENT DISCHARGE '!B130</f>
        <v>0</v>
      </c>
      <c r="C131" s="4">
        <f>'CLIENT ENROLLMENT DISCHARGE '!C130</f>
        <v>0</v>
      </c>
      <c r="D131" s="52"/>
      <c r="E131" s="53"/>
      <c r="F131" s="52"/>
      <c r="G131" s="53"/>
      <c r="H131" s="63"/>
      <c r="I131" s="116"/>
      <c r="J131" s="144"/>
      <c r="K131" s="71"/>
      <c r="L131" s="53"/>
      <c r="M131" s="2"/>
      <c r="N131" s="1"/>
      <c r="O131" s="218">
        <f t="shared" si="2"/>
        <v>0</v>
      </c>
      <c r="P131" s="218">
        <f t="shared" si="3"/>
        <v>0</v>
      </c>
      <c r="Q131" s="60"/>
      <c r="R131" s="52"/>
      <c r="S131" s="66"/>
      <c r="T131" s="65"/>
      <c r="U131" s="68"/>
      <c r="V131" s="75"/>
      <c r="W131" s="6">
        <f>'CLIENT ENROLLMENT DISCHARGE '!M130</f>
        <v>0</v>
      </c>
      <c r="X131" s="76">
        <f>'CLIENT ENROLLMENT DISCHARGE '!L130</f>
        <v>0</v>
      </c>
      <c r="Y131" s="180"/>
    </row>
    <row r="132" spans="1:25" ht="50.1" customHeight="1" x14ac:dyDescent="0.25">
      <c r="A132" s="5">
        <v>117</v>
      </c>
      <c r="B132" s="10">
        <f>'CLIENT ENROLLMENT DISCHARGE '!B131</f>
        <v>0</v>
      </c>
      <c r="C132" s="4">
        <f>'CLIENT ENROLLMENT DISCHARGE '!C131</f>
        <v>0</v>
      </c>
      <c r="D132" s="51"/>
      <c r="E132" s="52"/>
      <c r="F132" s="51"/>
      <c r="G132" s="52"/>
      <c r="H132" s="62"/>
      <c r="I132" s="115"/>
      <c r="J132" s="143"/>
      <c r="K132" s="70"/>
      <c r="L132" s="52"/>
      <c r="M132" s="8"/>
      <c r="N132" s="7"/>
      <c r="O132" s="218">
        <f t="shared" si="2"/>
        <v>0</v>
      </c>
      <c r="P132" s="218">
        <f t="shared" si="3"/>
        <v>0</v>
      </c>
      <c r="Q132" s="59"/>
      <c r="R132" s="51"/>
      <c r="S132" s="65"/>
      <c r="T132" s="64"/>
      <c r="U132" s="67"/>
      <c r="V132" s="74"/>
      <c r="W132" s="6">
        <f>'CLIENT ENROLLMENT DISCHARGE '!M131</f>
        <v>0</v>
      </c>
      <c r="X132" s="76">
        <f>'CLIENT ENROLLMENT DISCHARGE '!L131</f>
        <v>0</v>
      </c>
      <c r="Y132" s="180"/>
    </row>
    <row r="133" spans="1:25" ht="50.1" customHeight="1" x14ac:dyDescent="0.25">
      <c r="A133" s="5">
        <v>118</v>
      </c>
      <c r="B133" s="10">
        <f>'CLIENT ENROLLMENT DISCHARGE '!B132</f>
        <v>0</v>
      </c>
      <c r="C133" s="4">
        <f>'CLIENT ENROLLMENT DISCHARGE '!C132</f>
        <v>0</v>
      </c>
      <c r="D133" s="52"/>
      <c r="E133" s="53"/>
      <c r="F133" s="52"/>
      <c r="G133" s="53"/>
      <c r="H133" s="63"/>
      <c r="I133" s="116"/>
      <c r="J133" s="144"/>
      <c r="K133" s="71"/>
      <c r="L133" s="53"/>
      <c r="M133" s="2"/>
      <c r="N133" s="1"/>
      <c r="O133" s="218">
        <f t="shared" si="2"/>
        <v>0</v>
      </c>
      <c r="P133" s="218">
        <f t="shared" si="3"/>
        <v>0</v>
      </c>
      <c r="Q133" s="60"/>
      <c r="R133" s="52"/>
      <c r="S133" s="66"/>
      <c r="T133" s="65"/>
      <c r="U133" s="68"/>
      <c r="V133" s="59"/>
      <c r="W133" s="6">
        <f>'CLIENT ENROLLMENT DISCHARGE '!M132</f>
        <v>0</v>
      </c>
      <c r="X133" s="76">
        <f>'CLIENT ENROLLMENT DISCHARGE '!L132</f>
        <v>0</v>
      </c>
      <c r="Y133" s="180"/>
    </row>
    <row r="134" spans="1:25" ht="50.1" customHeight="1" x14ac:dyDescent="0.25">
      <c r="A134" s="5">
        <v>119</v>
      </c>
      <c r="B134" s="10">
        <f>'CLIENT ENROLLMENT DISCHARGE '!B133</f>
        <v>0</v>
      </c>
      <c r="C134" s="4">
        <f>'CLIENT ENROLLMENT DISCHARGE '!C133</f>
        <v>0</v>
      </c>
      <c r="D134" s="51"/>
      <c r="E134" s="52"/>
      <c r="F134" s="51"/>
      <c r="G134" s="52"/>
      <c r="H134" s="62"/>
      <c r="I134" s="115"/>
      <c r="J134" s="143"/>
      <c r="K134" s="70"/>
      <c r="L134" s="52"/>
      <c r="M134" s="8"/>
      <c r="N134" s="7"/>
      <c r="O134" s="218">
        <f t="shared" si="2"/>
        <v>0</v>
      </c>
      <c r="P134" s="218">
        <f t="shared" si="3"/>
        <v>0</v>
      </c>
      <c r="Q134" s="59"/>
      <c r="R134" s="51"/>
      <c r="S134" s="65"/>
      <c r="T134" s="64"/>
      <c r="U134" s="67"/>
      <c r="V134" s="74"/>
      <c r="W134" s="6">
        <f>'CLIENT ENROLLMENT DISCHARGE '!M133</f>
        <v>0</v>
      </c>
      <c r="X134" s="76">
        <f>'CLIENT ENROLLMENT DISCHARGE '!L133</f>
        <v>0</v>
      </c>
      <c r="Y134" s="180"/>
    </row>
    <row r="135" spans="1:25" ht="50.1" customHeight="1" x14ac:dyDescent="0.25">
      <c r="A135" s="5">
        <v>120</v>
      </c>
      <c r="B135" s="10">
        <f>'CLIENT ENROLLMENT DISCHARGE '!B134</f>
        <v>0</v>
      </c>
      <c r="C135" s="4">
        <f>'CLIENT ENROLLMENT DISCHARGE '!C134</f>
        <v>0</v>
      </c>
      <c r="D135" s="52"/>
      <c r="E135" s="53"/>
      <c r="F135" s="52"/>
      <c r="G135" s="53"/>
      <c r="H135" s="63"/>
      <c r="I135" s="116"/>
      <c r="J135" s="144"/>
      <c r="K135" s="71"/>
      <c r="L135" s="53"/>
      <c r="M135" s="2"/>
      <c r="N135" s="1"/>
      <c r="O135" s="218">
        <f t="shared" si="2"/>
        <v>0</v>
      </c>
      <c r="P135" s="218">
        <f t="shared" si="3"/>
        <v>0</v>
      </c>
      <c r="Q135" s="60"/>
      <c r="R135" s="52"/>
      <c r="S135" s="66"/>
      <c r="T135" s="65"/>
      <c r="U135" s="68"/>
      <c r="V135" s="59"/>
      <c r="W135" s="6">
        <f>'CLIENT ENROLLMENT DISCHARGE '!M134</f>
        <v>0</v>
      </c>
      <c r="X135" s="76">
        <f>'CLIENT ENROLLMENT DISCHARGE '!L134</f>
        <v>0</v>
      </c>
      <c r="Y135" s="180"/>
    </row>
    <row r="136" spans="1:25" ht="50.1" customHeight="1" x14ac:dyDescent="0.25">
      <c r="A136" s="5">
        <v>121</v>
      </c>
      <c r="B136" s="10">
        <f>'CLIENT ENROLLMENT DISCHARGE '!B135</f>
        <v>0</v>
      </c>
      <c r="C136" s="4">
        <f>'CLIENT ENROLLMENT DISCHARGE '!C135</f>
        <v>0</v>
      </c>
      <c r="D136" s="51"/>
      <c r="E136" s="52"/>
      <c r="F136" s="51"/>
      <c r="G136" s="52"/>
      <c r="H136" s="62"/>
      <c r="I136" s="115"/>
      <c r="J136" s="143"/>
      <c r="K136" s="70"/>
      <c r="L136" s="52"/>
      <c r="M136" s="8"/>
      <c r="N136" s="7"/>
      <c r="O136" s="218">
        <f t="shared" si="2"/>
        <v>0</v>
      </c>
      <c r="P136" s="218">
        <f t="shared" si="3"/>
        <v>0</v>
      </c>
      <c r="Q136" s="59"/>
      <c r="R136" s="51"/>
      <c r="S136" s="65"/>
      <c r="T136" s="64"/>
      <c r="U136" s="67"/>
      <c r="V136" s="74"/>
      <c r="W136" s="6">
        <f>'CLIENT ENROLLMENT DISCHARGE '!M135</f>
        <v>0</v>
      </c>
      <c r="X136" s="76">
        <f>'CLIENT ENROLLMENT DISCHARGE '!L135</f>
        <v>0</v>
      </c>
      <c r="Y136" s="180"/>
    </row>
    <row r="137" spans="1:25" ht="50.1" customHeight="1" x14ac:dyDescent="0.25">
      <c r="A137" s="5">
        <v>122</v>
      </c>
      <c r="B137" s="10">
        <f>'CLIENT ENROLLMENT DISCHARGE '!B136</f>
        <v>0</v>
      </c>
      <c r="C137" s="4">
        <f>'CLIENT ENROLLMENT DISCHARGE '!C136</f>
        <v>0</v>
      </c>
      <c r="D137" s="52"/>
      <c r="E137" s="53"/>
      <c r="F137" s="52"/>
      <c r="G137" s="53"/>
      <c r="H137" s="63"/>
      <c r="I137" s="116"/>
      <c r="J137" s="144"/>
      <c r="K137" s="71"/>
      <c r="L137" s="53"/>
      <c r="M137" s="2"/>
      <c r="N137" s="1"/>
      <c r="O137" s="218">
        <f t="shared" si="2"/>
        <v>0</v>
      </c>
      <c r="P137" s="218">
        <f t="shared" si="3"/>
        <v>0</v>
      </c>
      <c r="Q137" s="60"/>
      <c r="R137" s="52"/>
      <c r="S137" s="66"/>
      <c r="T137" s="65"/>
      <c r="U137" s="68"/>
      <c r="V137" s="59"/>
      <c r="W137" s="6">
        <f>'CLIENT ENROLLMENT DISCHARGE '!M136</f>
        <v>0</v>
      </c>
      <c r="X137" s="76">
        <f>'CLIENT ENROLLMENT DISCHARGE '!L136</f>
        <v>0</v>
      </c>
      <c r="Y137" s="180"/>
    </row>
    <row r="138" spans="1:25" ht="50.1" customHeight="1" x14ac:dyDescent="0.25">
      <c r="A138" s="5">
        <v>123</v>
      </c>
      <c r="B138" s="10">
        <f>'CLIENT ENROLLMENT DISCHARGE '!B137</f>
        <v>0</v>
      </c>
      <c r="C138" s="4">
        <f>'CLIENT ENROLLMENT DISCHARGE '!C137</f>
        <v>0</v>
      </c>
      <c r="D138" s="51"/>
      <c r="E138" s="52"/>
      <c r="F138" s="51"/>
      <c r="G138" s="52"/>
      <c r="H138" s="62"/>
      <c r="I138" s="115"/>
      <c r="J138" s="143"/>
      <c r="K138" s="70"/>
      <c r="L138" s="52"/>
      <c r="M138" s="8"/>
      <c r="N138" s="7"/>
      <c r="O138" s="218">
        <f t="shared" si="2"/>
        <v>0</v>
      </c>
      <c r="P138" s="218">
        <f t="shared" si="3"/>
        <v>0</v>
      </c>
      <c r="Q138" s="59"/>
      <c r="R138" s="51"/>
      <c r="S138" s="65"/>
      <c r="T138" s="64"/>
      <c r="U138" s="67"/>
      <c r="V138" s="74"/>
      <c r="W138" s="6">
        <f>'CLIENT ENROLLMENT DISCHARGE '!M137</f>
        <v>0</v>
      </c>
      <c r="X138" s="76">
        <f>'CLIENT ENROLLMENT DISCHARGE '!L137</f>
        <v>0</v>
      </c>
      <c r="Y138" s="180"/>
    </row>
    <row r="139" spans="1:25" ht="50.1" customHeight="1" x14ac:dyDescent="0.25">
      <c r="A139" s="5">
        <v>124</v>
      </c>
      <c r="B139" s="10">
        <f>'CLIENT ENROLLMENT DISCHARGE '!B138</f>
        <v>0</v>
      </c>
      <c r="C139" s="4">
        <f>'CLIENT ENROLLMENT DISCHARGE '!C138</f>
        <v>0</v>
      </c>
      <c r="D139" s="52"/>
      <c r="E139" s="53"/>
      <c r="F139" s="52"/>
      <c r="G139" s="53"/>
      <c r="H139" s="63"/>
      <c r="I139" s="116"/>
      <c r="J139" s="144"/>
      <c r="K139" s="71"/>
      <c r="L139" s="53"/>
      <c r="M139" s="2"/>
      <c r="N139" s="1"/>
      <c r="O139" s="218">
        <f t="shared" si="2"/>
        <v>0</v>
      </c>
      <c r="P139" s="218">
        <f t="shared" si="3"/>
        <v>0</v>
      </c>
      <c r="Q139" s="60"/>
      <c r="R139" s="52"/>
      <c r="S139" s="66"/>
      <c r="T139" s="65"/>
      <c r="U139" s="68"/>
      <c r="V139" s="59"/>
      <c r="W139" s="6">
        <f>'CLIENT ENROLLMENT DISCHARGE '!M138</f>
        <v>0</v>
      </c>
      <c r="X139" s="76">
        <f>'CLIENT ENROLLMENT DISCHARGE '!L138</f>
        <v>0</v>
      </c>
      <c r="Y139" s="180"/>
    </row>
    <row r="140" spans="1:25" ht="50.1" customHeight="1" x14ac:dyDescent="0.25">
      <c r="A140" s="5">
        <v>125</v>
      </c>
      <c r="B140" s="10">
        <f>'CLIENT ENROLLMENT DISCHARGE '!B139</f>
        <v>0</v>
      </c>
      <c r="C140" s="4">
        <f>'CLIENT ENROLLMENT DISCHARGE '!C139</f>
        <v>0</v>
      </c>
      <c r="D140" s="51"/>
      <c r="E140" s="52"/>
      <c r="F140" s="51"/>
      <c r="G140" s="52"/>
      <c r="H140" s="62"/>
      <c r="I140" s="115"/>
      <c r="J140" s="143"/>
      <c r="K140" s="70"/>
      <c r="L140" s="52"/>
      <c r="M140" s="8"/>
      <c r="N140" s="7"/>
      <c r="O140" s="218">
        <f t="shared" si="2"/>
        <v>0</v>
      </c>
      <c r="P140" s="218">
        <f t="shared" si="3"/>
        <v>0</v>
      </c>
      <c r="Q140" s="59"/>
      <c r="R140" s="51"/>
      <c r="S140" s="65"/>
      <c r="T140" s="64"/>
      <c r="U140" s="67"/>
      <c r="V140" s="74"/>
      <c r="W140" s="6">
        <f>'CLIENT ENROLLMENT DISCHARGE '!M139</f>
        <v>0</v>
      </c>
      <c r="X140" s="76">
        <f>'CLIENT ENROLLMENT DISCHARGE '!L139</f>
        <v>0</v>
      </c>
      <c r="Y140" s="180"/>
    </row>
    <row r="141" spans="1:25" ht="50.1" customHeight="1" x14ac:dyDescent="0.25">
      <c r="A141" s="5">
        <v>126</v>
      </c>
      <c r="B141" s="10">
        <f>'CLIENT ENROLLMENT DISCHARGE '!B140</f>
        <v>0</v>
      </c>
      <c r="C141" s="4">
        <f>'CLIENT ENROLLMENT DISCHARGE '!C140</f>
        <v>0</v>
      </c>
      <c r="D141" s="52"/>
      <c r="E141" s="53"/>
      <c r="F141" s="52"/>
      <c r="G141" s="53"/>
      <c r="H141" s="63"/>
      <c r="I141" s="116"/>
      <c r="J141" s="3"/>
      <c r="K141" s="71"/>
      <c r="L141" s="53"/>
      <c r="M141" s="2"/>
      <c r="N141" s="1"/>
      <c r="O141" s="218">
        <f t="shared" si="2"/>
        <v>0</v>
      </c>
      <c r="P141" s="218">
        <f t="shared" si="3"/>
        <v>0</v>
      </c>
      <c r="Q141" s="60"/>
      <c r="R141" s="52"/>
      <c r="S141" s="66"/>
      <c r="T141" s="65"/>
      <c r="U141" s="68"/>
      <c r="V141" s="75"/>
      <c r="W141" s="6">
        <f>'CLIENT ENROLLMENT DISCHARGE '!M140</f>
        <v>0</v>
      </c>
      <c r="X141" s="76">
        <f>'CLIENT ENROLLMENT DISCHARGE '!L140</f>
        <v>0</v>
      </c>
      <c r="Y141" s="180"/>
    </row>
    <row r="142" spans="1:25" ht="50.1" customHeight="1" x14ac:dyDescent="0.25">
      <c r="A142" s="5">
        <v>127</v>
      </c>
      <c r="B142" s="10">
        <f>'CLIENT ENROLLMENT DISCHARGE '!B141</f>
        <v>0</v>
      </c>
      <c r="C142" s="4">
        <f>'CLIENT ENROLLMENT DISCHARGE '!C141</f>
        <v>0</v>
      </c>
      <c r="D142" s="51"/>
      <c r="E142" s="52"/>
      <c r="F142" s="51"/>
      <c r="G142" s="52"/>
      <c r="H142" s="62"/>
      <c r="I142" s="115"/>
      <c r="J142" s="143"/>
      <c r="K142" s="70"/>
      <c r="L142" s="52"/>
      <c r="M142" s="8"/>
      <c r="N142" s="7"/>
      <c r="O142" s="218">
        <f t="shared" si="2"/>
        <v>0</v>
      </c>
      <c r="P142" s="218">
        <f t="shared" si="3"/>
        <v>0</v>
      </c>
      <c r="Q142" s="59"/>
      <c r="R142" s="51"/>
      <c r="S142" s="65"/>
      <c r="T142" s="64"/>
      <c r="U142" s="67"/>
      <c r="V142" s="74"/>
      <c r="W142" s="6">
        <f>'CLIENT ENROLLMENT DISCHARGE '!M141</f>
        <v>0</v>
      </c>
      <c r="X142" s="76">
        <f>'CLIENT ENROLLMENT DISCHARGE '!L141</f>
        <v>0</v>
      </c>
      <c r="Y142" s="180"/>
    </row>
    <row r="143" spans="1:25" ht="50.1" customHeight="1" x14ac:dyDescent="0.25">
      <c r="A143" s="5">
        <v>128</v>
      </c>
      <c r="B143" s="10">
        <f>'CLIENT ENROLLMENT DISCHARGE '!B142</f>
        <v>0</v>
      </c>
      <c r="C143" s="4">
        <f>'CLIENT ENROLLMENT DISCHARGE '!C142</f>
        <v>0</v>
      </c>
      <c r="D143" s="52"/>
      <c r="E143" s="53"/>
      <c r="F143" s="52"/>
      <c r="G143" s="53"/>
      <c r="H143" s="63"/>
      <c r="I143" s="116"/>
      <c r="J143" s="144"/>
      <c r="K143" s="71"/>
      <c r="L143" s="53"/>
      <c r="M143" s="2"/>
      <c r="N143" s="1"/>
      <c r="O143" s="218">
        <f t="shared" si="2"/>
        <v>0</v>
      </c>
      <c r="P143" s="218">
        <f t="shared" si="3"/>
        <v>0</v>
      </c>
      <c r="Q143" s="60"/>
      <c r="R143" s="52"/>
      <c r="S143" s="66"/>
      <c r="T143" s="65"/>
      <c r="U143" s="68"/>
      <c r="V143" s="59"/>
      <c r="W143" s="6">
        <f>'CLIENT ENROLLMENT DISCHARGE '!M142</f>
        <v>0</v>
      </c>
      <c r="X143" s="76">
        <f>'CLIENT ENROLLMENT DISCHARGE '!L142</f>
        <v>0</v>
      </c>
      <c r="Y143" s="180"/>
    </row>
    <row r="144" spans="1:25" ht="50.1" customHeight="1" x14ac:dyDescent="0.25">
      <c r="A144" s="5">
        <v>129</v>
      </c>
      <c r="B144" s="10">
        <f>'CLIENT ENROLLMENT DISCHARGE '!B143</f>
        <v>0</v>
      </c>
      <c r="C144" s="4">
        <f>'CLIENT ENROLLMENT DISCHARGE '!C143</f>
        <v>0</v>
      </c>
      <c r="D144" s="51"/>
      <c r="E144" s="52"/>
      <c r="F144" s="51"/>
      <c r="G144" s="52"/>
      <c r="H144" s="62"/>
      <c r="I144" s="115"/>
      <c r="J144" s="143"/>
      <c r="K144" s="70"/>
      <c r="L144" s="52"/>
      <c r="M144" s="8"/>
      <c r="N144" s="7"/>
      <c r="O144" s="218">
        <f t="shared" si="2"/>
        <v>0</v>
      </c>
      <c r="P144" s="218">
        <f t="shared" si="3"/>
        <v>0</v>
      </c>
      <c r="Q144" s="59"/>
      <c r="R144" s="51"/>
      <c r="S144" s="65"/>
      <c r="T144" s="64"/>
      <c r="U144" s="67"/>
      <c r="V144" s="74"/>
      <c r="W144" s="6">
        <f>'CLIENT ENROLLMENT DISCHARGE '!M143</f>
        <v>0</v>
      </c>
      <c r="X144" s="76">
        <f>'CLIENT ENROLLMENT DISCHARGE '!L143</f>
        <v>0</v>
      </c>
      <c r="Y144" s="180"/>
    </row>
    <row r="145" spans="1:25" ht="50.1" customHeight="1" x14ac:dyDescent="0.25">
      <c r="A145" s="5">
        <v>130</v>
      </c>
      <c r="B145" s="10">
        <f>'CLIENT ENROLLMENT DISCHARGE '!B144</f>
        <v>0</v>
      </c>
      <c r="C145" s="4">
        <f>'CLIENT ENROLLMENT DISCHARGE '!C144</f>
        <v>0</v>
      </c>
      <c r="D145" s="52"/>
      <c r="E145" s="53"/>
      <c r="F145" s="52"/>
      <c r="G145" s="53"/>
      <c r="H145" s="63"/>
      <c r="I145" s="116"/>
      <c r="J145" s="144"/>
      <c r="K145" s="71"/>
      <c r="L145" s="53"/>
      <c r="M145" s="2"/>
      <c r="N145" s="1"/>
      <c r="O145" s="218">
        <f t="shared" ref="O145:O208" si="4">K145*N145</f>
        <v>0</v>
      </c>
      <c r="P145" s="218">
        <f t="shared" ref="P145:P208" si="5">O145</f>
        <v>0</v>
      </c>
      <c r="Q145" s="60"/>
      <c r="R145" s="52"/>
      <c r="S145" s="66"/>
      <c r="T145" s="65"/>
      <c r="U145" s="68"/>
      <c r="V145" s="59"/>
      <c r="W145" s="6">
        <f>'CLIENT ENROLLMENT DISCHARGE '!M144</f>
        <v>0</v>
      </c>
      <c r="X145" s="76">
        <f>'CLIENT ENROLLMENT DISCHARGE '!L144</f>
        <v>0</v>
      </c>
      <c r="Y145" s="180"/>
    </row>
    <row r="146" spans="1:25" ht="50.1" customHeight="1" x14ac:dyDescent="0.25">
      <c r="A146" s="5">
        <v>131</v>
      </c>
      <c r="B146" s="10">
        <f>'CLIENT ENROLLMENT DISCHARGE '!B145</f>
        <v>0</v>
      </c>
      <c r="C146" s="4">
        <f>'CLIENT ENROLLMENT DISCHARGE '!C145</f>
        <v>0</v>
      </c>
      <c r="D146" s="51"/>
      <c r="E146" s="52"/>
      <c r="F146" s="51"/>
      <c r="G146" s="52"/>
      <c r="H146" s="62"/>
      <c r="I146" s="115"/>
      <c r="J146" s="143"/>
      <c r="K146" s="70"/>
      <c r="L146" s="52"/>
      <c r="M146" s="8"/>
      <c r="N146" s="7"/>
      <c r="O146" s="218">
        <f t="shared" si="4"/>
        <v>0</v>
      </c>
      <c r="P146" s="218">
        <f t="shared" si="5"/>
        <v>0</v>
      </c>
      <c r="Q146" s="59"/>
      <c r="R146" s="51"/>
      <c r="S146" s="65"/>
      <c r="T146" s="64"/>
      <c r="U146" s="67"/>
      <c r="V146" s="74"/>
      <c r="W146" s="6">
        <f>'CLIENT ENROLLMENT DISCHARGE '!M145</f>
        <v>0</v>
      </c>
      <c r="X146" s="76">
        <f>'CLIENT ENROLLMENT DISCHARGE '!L145</f>
        <v>0</v>
      </c>
      <c r="Y146" s="180"/>
    </row>
    <row r="147" spans="1:25" ht="50.1" customHeight="1" x14ac:dyDescent="0.25">
      <c r="A147" s="5">
        <v>132</v>
      </c>
      <c r="B147" s="10">
        <f>'CLIENT ENROLLMENT DISCHARGE '!B146</f>
        <v>0</v>
      </c>
      <c r="C147" s="4">
        <f>'CLIENT ENROLLMENT DISCHARGE '!C146</f>
        <v>0</v>
      </c>
      <c r="D147" s="52"/>
      <c r="E147" s="53"/>
      <c r="F147" s="52"/>
      <c r="G147" s="53"/>
      <c r="H147" s="63"/>
      <c r="I147" s="116"/>
      <c r="J147" s="144"/>
      <c r="K147" s="71"/>
      <c r="L147" s="53"/>
      <c r="M147" s="2"/>
      <c r="N147" s="1"/>
      <c r="O147" s="218">
        <f t="shared" si="4"/>
        <v>0</v>
      </c>
      <c r="P147" s="218">
        <f t="shared" si="5"/>
        <v>0</v>
      </c>
      <c r="Q147" s="60"/>
      <c r="R147" s="52"/>
      <c r="S147" s="66"/>
      <c r="T147" s="65"/>
      <c r="U147" s="68"/>
      <c r="V147" s="59"/>
      <c r="W147" s="6">
        <f>'CLIENT ENROLLMENT DISCHARGE '!M146</f>
        <v>0</v>
      </c>
      <c r="X147" s="76">
        <f>'CLIENT ENROLLMENT DISCHARGE '!L146</f>
        <v>0</v>
      </c>
      <c r="Y147" s="180"/>
    </row>
    <row r="148" spans="1:25" ht="50.1" customHeight="1" x14ac:dyDescent="0.25">
      <c r="A148" s="5">
        <v>133</v>
      </c>
      <c r="B148" s="10">
        <f>'CLIENT ENROLLMENT DISCHARGE '!B147</f>
        <v>0</v>
      </c>
      <c r="C148" s="4">
        <f>'CLIENT ENROLLMENT DISCHARGE '!C147</f>
        <v>0</v>
      </c>
      <c r="D148" s="51"/>
      <c r="E148" s="52"/>
      <c r="F148" s="51"/>
      <c r="G148" s="52"/>
      <c r="H148" s="62"/>
      <c r="I148" s="115"/>
      <c r="J148" s="143"/>
      <c r="K148" s="70"/>
      <c r="L148" s="52"/>
      <c r="M148" s="8"/>
      <c r="N148" s="7"/>
      <c r="O148" s="218">
        <f t="shared" si="4"/>
        <v>0</v>
      </c>
      <c r="P148" s="218">
        <f t="shared" si="5"/>
        <v>0</v>
      </c>
      <c r="Q148" s="59"/>
      <c r="R148" s="51"/>
      <c r="S148" s="65"/>
      <c r="T148" s="64"/>
      <c r="U148" s="67"/>
      <c r="V148" s="74"/>
      <c r="W148" s="6">
        <f>'CLIENT ENROLLMENT DISCHARGE '!M147</f>
        <v>0</v>
      </c>
      <c r="X148" s="76">
        <f>'CLIENT ENROLLMENT DISCHARGE '!L147</f>
        <v>0</v>
      </c>
      <c r="Y148" s="180"/>
    </row>
    <row r="149" spans="1:25" ht="50.1" customHeight="1" x14ac:dyDescent="0.25">
      <c r="A149" s="5">
        <v>134</v>
      </c>
      <c r="B149" s="10">
        <f>'CLIENT ENROLLMENT DISCHARGE '!B148</f>
        <v>0</v>
      </c>
      <c r="C149" s="4">
        <f>'CLIENT ENROLLMENT DISCHARGE '!C148</f>
        <v>0</v>
      </c>
      <c r="D149" s="52"/>
      <c r="E149" s="53"/>
      <c r="F149" s="52"/>
      <c r="G149" s="53"/>
      <c r="H149" s="63"/>
      <c r="I149" s="116"/>
      <c r="J149" s="144"/>
      <c r="K149" s="71"/>
      <c r="L149" s="53"/>
      <c r="M149" s="2"/>
      <c r="N149" s="1"/>
      <c r="O149" s="218">
        <f t="shared" si="4"/>
        <v>0</v>
      </c>
      <c r="P149" s="218">
        <f t="shared" si="5"/>
        <v>0</v>
      </c>
      <c r="Q149" s="60"/>
      <c r="R149" s="52"/>
      <c r="S149" s="66"/>
      <c r="T149" s="65"/>
      <c r="U149" s="68"/>
      <c r="V149" s="59"/>
      <c r="W149" s="6">
        <f>'CLIENT ENROLLMENT DISCHARGE '!M148</f>
        <v>0</v>
      </c>
      <c r="X149" s="76">
        <f>'CLIENT ENROLLMENT DISCHARGE '!L148</f>
        <v>0</v>
      </c>
      <c r="Y149" s="180"/>
    </row>
    <row r="150" spans="1:25" ht="50.1" customHeight="1" x14ac:dyDescent="0.25">
      <c r="A150" s="5">
        <v>135</v>
      </c>
      <c r="B150" s="10">
        <f>'CLIENT ENROLLMENT DISCHARGE '!B149</f>
        <v>0</v>
      </c>
      <c r="C150" s="4">
        <f>'CLIENT ENROLLMENT DISCHARGE '!C149</f>
        <v>0</v>
      </c>
      <c r="D150" s="51"/>
      <c r="E150" s="52"/>
      <c r="F150" s="51"/>
      <c r="G150" s="52"/>
      <c r="H150" s="62"/>
      <c r="I150" s="115"/>
      <c r="J150" s="143"/>
      <c r="K150" s="70"/>
      <c r="L150" s="52"/>
      <c r="M150" s="8"/>
      <c r="N150" s="7"/>
      <c r="O150" s="218">
        <f t="shared" si="4"/>
        <v>0</v>
      </c>
      <c r="P150" s="218">
        <f t="shared" si="5"/>
        <v>0</v>
      </c>
      <c r="Q150" s="59"/>
      <c r="R150" s="51"/>
      <c r="S150" s="65"/>
      <c r="T150" s="64"/>
      <c r="U150" s="67"/>
      <c r="V150" s="74"/>
      <c r="W150" s="6">
        <f>'CLIENT ENROLLMENT DISCHARGE '!M149</f>
        <v>0</v>
      </c>
      <c r="X150" s="76">
        <f>'CLIENT ENROLLMENT DISCHARGE '!L149</f>
        <v>0</v>
      </c>
      <c r="Y150" s="180"/>
    </row>
    <row r="151" spans="1:25" ht="50.1" customHeight="1" x14ac:dyDescent="0.25">
      <c r="A151" s="5">
        <v>136</v>
      </c>
      <c r="B151" s="10">
        <f>'CLIENT ENROLLMENT DISCHARGE '!B150</f>
        <v>0</v>
      </c>
      <c r="C151" s="4">
        <f>'CLIENT ENROLLMENT DISCHARGE '!C150</f>
        <v>0</v>
      </c>
      <c r="D151" s="52"/>
      <c r="E151" s="53"/>
      <c r="F151" s="52"/>
      <c r="G151" s="53"/>
      <c r="H151" s="63"/>
      <c r="I151" s="116"/>
      <c r="J151" s="144"/>
      <c r="K151" s="71"/>
      <c r="L151" s="53"/>
      <c r="M151" s="2"/>
      <c r="N151" s="1"/>
      <c r="O151" s="218">
        <f t="shared" si="4"/>
        <v>0</v>
      </c>
      <c r="P151" s="218">
        <f t="shared" si="5"/>
        <v>0</v>
      </c>
      <c r="Q151" s="60"/>
      <c r="R151" s="52"/>
      <c r="S151" s="66"/>
      <c r="T151" s="65"/>
      <c r="U151" s="68"/>
      <c r="V151" s="75"/>
      <c r="W151" s="6">
        <f>'CLIENT ENROLLMENT DISCHARGE '!M150</f>
        <v>0</v>
      </c>
      <c r="X151" s="76">
        <f>'CLIENT ENROLLMENT DISCHARGE '!L150</f>
        <v>0</v>
      </c>
      <c r="Y151" s="180"/>
    </row>
    <row r="152" spans="1:25" ht="50.1" customHeight="1" x14ac:dyDescent="0.25">
      <c r="A152" s="5">
        <v>137</v>
      </c>
      <c r="B152" s="10">
        <f>'CLIENT ENROLLMENT DISCHARGE '!B151</f>
        <v>0</v>
      </c>
      <c r="C152" s="4">
        <f>'CLIENT ENROLLMENT DISCHARGE '!C151</f>
        <v>0</v>
      </c>
      <c r="D152" s="51"/>
      <c r="E152" s="52"/>
      <c r="F152" s="51"/>
      <c r="G152" s="52"/>
      <c r="H152" s="62"/>
      <c r="I152" s="115"/>
      <c r="J152" s="143"/>
      <c r="K152" s="70"/>
      <c r="L152" s="52"/>
      <c r="M152" s="8"/>
      <c r="N152" s="7"/>
      <c r="O152" s="218">
        <f t="shared" si="4"/>
        <v>0</v>
      </c>
      <c r="P152" s="218">
        <f t="shared" si="5"/>
        <v>0</v>
      </c>
      <c r="Q152" s="59"/>
      <c r="R152" s="51"/>
      <c r="S152" s="65"/>
      <c r="T152" s="64"/>
      <c r="U152" s="67"/>
      <c r="V152" s="74"/>
      <c r="W152" s="6">
        <f>'CLIENT ENROLLMENT DISCHARGE '!M151</f>
        <v>0</v>
      </c>
      <c r="X152" s="76">
        <f>'CLIENT ENROLLMENT DISCHARGE '!L151</f>
        <v>0</v>
      </c>
      <c r="Y152" s="180"/>
    </row>
    <row r="153" spans="1:25" ht="50.1" customHeight="1" x14ac:dyDescent="0.25">
      <c r="A153" s="5">
        <v>138</v>
      </c>
      <c r="B153" s="10">
        <f>'CLIENT ENROLLMENT DISCHARGE '!B152</f>
        <v>0</v>
      </c>
      <c r="C153" s="4">
        <f>'CLIENT ENROLLMENT DISCHARGE '!C152</f>
        <v>0</v>
      </c>
      <c r="D153" s="52"/>
      <c r="E153" s="53"/>
      <c r="F153" s="52"/>
      <c r="G153" s="53"/>
      <c r="H153" s="63"/>
      <c r="I153" s="116"/>
      <c r="J153" s="144"/>
      <c r="K153" s="71"/>
      <c r="L153" s="53"/>
      <c r="M153" s="2"/>
      <c r="N153" s="1"/>
      <c r="O153" s="218">
        <f t="shared" si="4"/>
        <v>0</v>
      </c>
      <c r="P153" s="218">
        <f t="shared" si="5"/>
        <v>0</v>
      </c>
      <c r="Q153" s="60"/>
      <c r="R153" s="52"/>
      <c r="S153" s="66"/>
      <c r="T153" s="65"/>
      <c r="U153" s="68"/>
      <c r="V153" s="59"/>
      <c r="W153" s="6">
        <f>'CLIENT ENROLLMENT DISCHARGE '!M152</f>
        <v>0</v>
      </c>
      <c r="X153" s="76">
        <f>'CLIENT ENROLLMENT DISCHARGE '!L152</f>
        <v>0</v>
      </c>
      <c r="Y153" s="180"/>
    </row>
    <row r="154" spans="1:25" ht="50.1" customHeight="1" x14ac:dyDescent="0.25">
      <c r="A154" s="5">
        <v>139</v>
      </c>
      <c r="B154" s="10">
        <f>'CLIENT ENROLLMENT DISCHARGE '!B153</f>
        <v>0</v>
      </c>
      <c r="C154" s="4">
        <f>'CLIENT ENROLLMENT DISCHARGE '!C153</f>
        <v>0</v>
      </c>
      <c r="D154" s="51"/>
      <c r="E154" s="52"/>
      <c r="F154" s="51"/>
      <c r="G154" s="52"/>
      <c r="H154" s="62"/>
      <c r="I154" s="115"/>
      <c r="J154" s="143"/>
      <c r="K154" s="70"/>
      <c r="L154" s="52"/>
      <c r="M154" s="8"/>
      <c r="N154" s="7"/>
      <c r="O154" s="218">
        <f t="shared" si="4"/>
        <v>0</v>
      </c>
      <c r="P154" s="218">
        <f t="shared" si="5"/>
        <v>0</v>
      </c>
      <c r="Q154" s="59"/>
      <c r="R154" s="51"/>
      <c r="S154" s="65"/>
      <c r="T154" s="64"/>
      <c r="U154" s="67"/>
      <c r="V154" s="74"/>
      <c r="W154" s="6">
        <f>'CLIENT ENROLLMENT DISCHARGE '!M153</f>
        <v>0</v>
      </c>
      <c r="X154" s="76">
        <f>'CLIENT ENROLLMENT DISCHARGE '!L153</f>
        <v>0</v>
      </c>
      <c r="Y154" s="180"/>
    </row>
    <row r="155" spans="1:25" ht="50.1" customHeight="1" x14ac:dyDescent="0.25">
      <c r="A155" s="5">
        <v>140</v>
      </c>
      <c r="B155" s="10">
        <f>'CLIENT ENROLLMENT DISCHARGE '!B154</f>
        <v>0</v>
      </c>
      <c r="C155" s="4">
        <f>'CLIENT ENROLLMENT DISCHARGE '!C154</f>
        <v>0</v>
      </c>
      <c r="D155" s="52"/>
      <c r="E155" s="53"/>
      <c r="F155" s="52"/>
      <c r="G155" s="53"/>
      <c r="H155" s="63"/>
      <c r="I155" s="116"/>
      <c r="J155" s="144"/>
      <c r="K155" s="71"/>
      <c r="L155" s="53"/>
      <c r="M155" s="2"/>
      <c r="N155" s="1"/>
      <c r="O155" s="218">
        <f t="shared" si="4"/>
        <v>0</v>
      </c>
      <c r="P155" s="218">
        <f t="shared" si="5"/>
        <v>0</v>
      </c>
      <c r="Q155" s="60"/>
      <c r="R155" s="52"/>
      <c r="S155" s="66"/>
      <c r="T155" s="65"/>
      <c r="U155" s="68"/>
      <c r="V155" s="59"/>
      <c r="W155" s="6">
        <f>'CLIENT ENROLLMENT DISCHARGE '!M154</f>
        <v>0</v>
      </c>
      <c r="X155" s="76">
        <f>'CLIENT ENROLLMENT DISCHARGE '!L154</f>
        <v>0</v>
      </c>
      <c r="Y155" s="180"/>
    </row>
    <row r="156" spans="1:25" ht="50.1" customHeight="1" x14ac:dyDescent="0.25">
      <c r="A156" s="5">
        <v>141</v>
      </c>
      <c r="B156" s="10">
        <f>'CLIENT ENROLLMENT DISCHARGE '!B155</f>
        <v>0</v>
      </c>
      <c r="C156" s="4">
        <f>'CLIENT ENROLLMENT DISCHARGE '!C155</f>
        <v>0</v>
      </c>
      <c r="D156" s="51"/>
      <c r="E156" s="52"/>
      <c r="F156" s="51"/>
      <c r="G156" s="52"/>
      <c r="H156" s="62"/>
      <c r="I156" s="115"/>
      <c r="J156" s="143"/>
      <c r="K156" s="70"/>
      <c r="L156" s="52"/>
      <c r="M156" s="8"/>
      <c r="N156" s="7"/>
      <c r="O156" s="218">
        <f t="shared" si="4"/>
        <v>0</v>
      </c>
      <c r="P156" s="218">
        <f t="shared" si="5"/>
        <v>0</v>
      </c>
      <c r="Q156" s="59"/>
      <c r="R156" s="51"/>
      <c r="S156" s="65"/>
      <c r="T156" s="64"/>
      <c r="U156" s="67"/>
      <c r="V156" s="74"/>
      <c r="W156" s="6">
        <f>'CLIENT ENROLLMENT DISCHARGE '!M155</f>
        <v>0</v>
      </c>
      <c r="X156" s="76">
        <f>'CLIENT ENROLLMENT DISCHARGE '!L155</f>
        <v>0</v>
      </c>
      <c r="Y156" s="180"/>
    </row>
    <row r="157" spans="1:25" ht="50.1" customHeight="1" x14ac:dyDescent="0.25">
      <c r="A157" s="5">
        <v>142</v>
      </c>
      <c r="B157" s="10">
        <f>'CLIENT ENROLLMENT DISCHARGE '!B156</f>
        <v>0</v>
      </c>
      <c r="C157" s="4">
        <f>'CLIENT ENROLLMENT DISCHARGE '!C156</f>
        <v>0</v>
      </c>
      <c r="D157" s="52"/>
      <c r="E157" s="53"/>
      <c r="F157" s="52"/>
      <c r="G157" s="53"/>
      <c r="H157" s="63"/>
      <c r="I157" s="116"/>
      <c r="J157" s="144"/>
      <c r="K157" s="71"/>
      <c r="L157" s="53"/>
      <c r="M157" s="2"/>
      <c r="N157" s="1"/>
      <c r="O157" s="218">
        <f t="shared" si="4"/>
        <v>0</v>
      </c>
      <c r="P157" s="218">
        <f t="shared" si="5"/>
        <v>0</v>
      </c>
      <c r="Q157" s="60"/>
      <c r="R157" s="52"/>
      <c r="S157" s="66"/>
      <c r="T157" s="65"/>
      <c r="U157" s="68"/>
      <c r="V157" s="59"/>
      <c r="W157" s="6">
        <f>'CLIENT ENROLLMENT DISCHARGE '!M156</f>
        <v>0</v>
      </c>
      <c r="X157" s="76">
        <f>'CLIENT ENROLLMENT DISCHARGE '!L156</f>
        <v>0</v>
      </c>
      <c r="Y157" s="180"/>
    </row>
    <row r="158" spans="1:25" ht="50.1" customHeight="1" x14ac:dyDescent="0.25">
      <c r="A158" s="5">
        <v>143</v>
      </c>
      <c r="B158" s="10">
        <f>'CLIENT ENROLLMENT DISCHARGE '!B157</f>
        <v>0</v>
      </c>
      <c r="C158" s="4">
        <f>'CLIENT ENROLLMENT DISCHARGE '!C157</f>
        <v>0</v>
      </c>
      <c r="D158" s="51"/>
      <c r="E158" s="52"/>
      <c r="F158" s="51"/>
      <c r="G158" s="52"/>
      <c r="H158" s="62"/>
      <c r="I158" s="115"/>
      <c r="J158" s="143"/>
      <c r="K158" s="70"/>
      <c r="L158" s="52"/>
      <c r="M158" s="8"/>
      <c r="N158" s="7"/>
      <c r="O158" s="218">
        <f t="shared" si="4"/>
        <v>0</v>
      </c>
      <c r="P158" s="218">
        <f t="shared" si="5"/>
        <v>0</v>
      </c>
      <c r="Q158" s="59"/>
      <c r="R158" s="51"/>
      <c r="S158" s="65"/>
      <c r="T158" s="64"/>
      <c r="U158" s="67"/>
      <c r="V158" s="74"/>
      <c r="W158" s="6">
        <f>'CLIENT ENROLLMENT DISCHARGE '!M157</f>
        <v>0</v>
      </c>
      <c r="X158" s="76">
        <f>'CLIENT ENROLLMENT DISCHARGE '!L157</f>
        <v>0</v>
      </c>
      <c r="Y158" s="180"/>
    </row>
    <row r="159" spans="1:25" ht="50.1" customHeight="1" x14ac:dyDescent="0.25">
      <c r="A159" s="5">
        <v>144</v>
      </c>
      <c r="B159" s="10">
        <f>'CLIENT ENROLLMENT DISCHARGE '!B158</f>
        <v>0</v>
      </c>
      <c r="C159" s="4">
        <f>'CLIENT ENROLLMENT DISCHARGE '!C158</f>
        <v>0</v>
      </c>
      <c r="D159" s="52"/>
      <c r="E159" s="53"/>
      <c r="F159" s="52"/>
      <c r="G159" s="53"/>
      <c r="H159" s="63"/>
      <c r="I159" s="116"/>
      <c r="J159" s="144"/>
      <c r="K159" s="71"/>
      <c r="L159" s="53"/>
      <c r="M159" s="2"/>
      <c r="N159" s="1"/>
      <c r="O159" s="218">
        <f t="shared" si="4"/>
        <v>0</v>
      </c>
      <c r="P159" s="218">
        <f t="shared" si="5"/>
        <v>0</v>
      </c>
      <c r="Q159" s="60"/>
      <c r="R159" s="52"/>
      <c r="S159" s="66"/>
      <c r="T159" s="65"/>
      <c r="U159" s="68"/>
      <c r="V159" s="59"/>
      <c r="W159" s="6">
        <f>'CLIENT ENROLLMENT DISCHARGE '!M158</f>
        <v>0</v>
      </c>
      <c r="X159" s="76">
        <f>'CLIENT ENROLLMENT DISCHARGE '!L158</f>
        <v>0</v>
      </c>
      <c r="Y159" s="180"/>
    </row>
    <row r="160" spans="1:25" ht="50.1" customHeight="1" x14ac:dyDescent="0.25">
      <c r="A160" s="5">
        <v>145</v>
      </c>
      <c r="B160" s="10">
        <f>'CLIENT ENROLLMENT DISCHARGE '!B159</f>
        <v>0</v>
      </c>
      <c r="C160" s="4">
        <f>'CLIENT ENROLLMENT DISCHARGE '!C159</f>
        <v>0</v>
      </c>
      <c r="D160" s="51"/>
      <c r="E160" s="52"/>
      <c r="F160" s="51"/>
      <c r="G160" s="52"/>
      <c r="H160" s="62"/>
      <c r="I160" s="115"/>
      <c r="J160" s="143"/>
      <c r="K160" s="70"/>
      <c r="L160" s="52"/>
      <c r="M160" s="8"/>
      <c r="N160" s="7"/>
      <c r="O160" s="218">
        <f t="shared" si="4"/>
        <v>0</v>
      </c>
      <c r="P160" s="218">
        <f t="shared" si="5"/>
        <v>0</v>
      </c>
      <c r="Q160" s="59"/>
      <c r="R160" s="51"/>
      <c r="S160" s="65"/>
      <c r="T160" s="64"/>
      <c r="U160" s="67"/>
      <c r="V160" s="74"/>
      <c r="W160" s="6">
        <f>'CLIENT ENROLLMENT DISCHARGE '!M159</f>
        <v>0</v>
      </c>
      <c r="X160" s="76">
        <f>'CLIENT ENROLLMENT DISCHARGE '!L159</f>
        <v>0</v>
      </c>
      <c r="Y160" s="180"/>
    </row>
    <row r="161" spans="1:25" ht="50.1" customHeight="1" x14ac:dyDescent="0.25">
      <c r="A161" s="5">
        <v>146</v>
      </c>
      <c r="B161" s="10">
        <f>'CLIENT ENROLLMENT DISCHARGE '!B160</f>
        <v>0</v>
      </c>
      <c r="C161" s="4">
        <f>'CLIENT ENROLLMENT DISCHARGE '!C160</f>
        <v>0</v>
      </c>
      <c r="D161" s="52"/>
      <c r="E161" s="53"/>
      <c r="F161" s="52"/>
      <c r="G161" s="53"/>
      <c r="H161" s="63"/>
      <c r="I161" s="116"/>
      <c r="J161" s="3"/>
      <c r="K161" s="71"/>
      <c r="L161" s="53"/>
      <c r="M161" s="2"/>
      <c r="N161" s="1"/>
      <c r="O161" s="218">
        <f t="shared" si="4"/>
        <v>0</v>
      </c>
      <c r="P161" s="218">
        <f t="shared" si="5"/>
        <v>0</v>
      </c>
      <c r="Q161" s="60"/>
      <c r="R161" s="52"/>
      <c r="S161" s="66"/>
      <c r="T161" s="65"/>
      <c r="U161" s="68"/>
      <c r="V161" s="75"/>
      <c r="W161" s="6">
        <f>'CLIENT ENROLLMENT DISCHARGE '!M160</f>
        <v>0</v>
      </c>
      <c r="X161" s="76">
        <f>'CLIENT ENROLLMENT DISCHARGE '!L160</f>
        <v>0</v>
      </c>
      <c r="Y161" s="180"/>
    </row>
    <row r="162" spans="1:25" ht="50.1" customHeight="1" x14ac:dyDescent="0.25">
      <c r="A162" s="5">
        <v>147</v>
      </c>
      <c r="B162" s="10">
        <f>'CLIENT ENROLLMENT DISCHARGE '!B161</f>
        <v>0</v>
      </c>
      <c r="C162" s="4">
        <f>'CLIENT ENROLLMENT DISCHARGE '!C161</f>
        <v>0</v>
      </c>
      <c r="D162" s="51"/>
      <c r="E162" s="52"/>
      <c r="F162" s="51"/>
      <c r="G162" s="52"/>
      <c r="H162" s="62"/>
      <c r="I162" s="115"/>
      <c r="J162" s="143"/>
      <c r="K162" s="70"/>
      <c r="L162" s="52"/>
      <c r="M162" s="8"/>
      <c r="N162" s="7"/>
      <c r="O162" s="218">
        <f t="shared" si="4"/>
        <v>0</v>
      </c>
      <c r="P162" s="218">
        <f t="shared" si="5"/>
        <v>0</v>
      </c>
      <c r="Q162" s="59"/>
      <c r="R162" s="51"/>
      <c r="S162" s="65"/>
      <c r="T162" s="64"/>
      <c r="U162" s="67"/>
      <c r="V162" s="74"/>
      <c r="W162" s="6">
        <f>'CLIENT ENROLLMENT DISCHARGE '!M161</f>
        <v>0</v>
      </c>
      <c r="X162" s="76">
        <f>'CLIENT ENROLLMENT DISCHARGE '!L161</f>
        <v>0</v>
      </c>
      <c r="Y162" s="180"/>
    </row>
    <row r="163" spans="1:25" ht="50.1" customHeight="1" x14ac:dyDescent="0.25">
      <c r="A163" s="5">
        <v>148</v>
      </c>
      <c r="B163" s="10">
        <f>'CLIENT ENROLLMENT DISCHARGE '!B162</f>
        <v>0</v>
      </c>
      <c r="C163" s="4">
        <f>'CLIENT ENROLLMENT DISCHARGE '!C162</f>
        <v>0</v>
      </c>
      <c r="D163" s="52"/>
      <c r="E163" s="53"/>
      <c r="F163" s="52"/>
      <c r="G163" s="53"/>
      <c r="H163" s="63"/>
      <c r="I163" s="116"/>
      <c r="J163" s="144"/>
      <c r="K163" s="71"/>
      <c r="L163" s="53"/>
      <c r="M163" s="2"/>
      <c r="N163" s="1"/>
      <c r="O163" s="218">
        <f t="shared" si="4"/>
        <v>0</v>
      </c>
      <c r="P163" s="218">
        <f t="shared" si="5"/>
        <v>0</v>
      </c>
      <c r="Q163" s="60"/>
      <c r="R163" s="52"/>
      <c r="S163" s="66"/>
      <c r="T163" s="65"/>
      <c r="U163" s="68"/>
      <c r="V163" s="59"/>
      <c r="W163" s="6">
        <f>'CLIENT ENROLLMENT DISCHARGE '!M162</f>
        <v>0</v>
      </c>
      <c r="X163" s="76">
        <f>'CLIENT ENROLLMENT DISCHARGE '!L162</f>
        <v>0</v>
      </c>
      <c r="Y163" s="180"/>
    </row>
    <row r="164" spans="1:25" ht="50.1" customHeight="1" x14ac:dyDescent="0.25">
      <c r="A164" s="5">
        <v>149</v>
      </c>
      <c r="B164" s="10">
        <f>'CLIENT ENROLLMENT DISCHARGE '!B163</f>
        <v>0</v>
      </c>
      <c r="C164" s="4">
        <f>'CLIENT ENROLLMENT DISCHARGE '!C163</f>
        <v>0</v>
      </c>
      <c r="D164" s="51"/>
      <c r="E164" s="52"/>
      <c r="F164" s="51"/>
      <c r="G164" s="52"/>
      <c r="H164" s="62"/>
      <c r="I164" s="115"/>
      <c r="J164" s="143"/>
      <c r="K164" s="70"/>
      <c r="L164" s="52"/>
      <c r="M164" s="8"/>
      <c r="N164" s="7"/>
      <c r="O164" s="218">
        <f t="shared" si="4"/>
        <v>0</v>
      </c>
      <c r="P164" s="218">
        <f t="shared" si="5"/>
        <v>0</v>
      </c>
      <c r="Q164" s="59"/>
      <c r="R164" s="51"/>
      <c r="S164" s="65"/>
      <c r="T164" s="64"/>
      <c r="U164" s="67"/>
      <c r="V164" s="74"/>
      <c r="W164" s="6">
        <f>'CLIENT ENROLLMENT DISCHARGE '!M163</f>
        <v>0</v>
      </c>
      <c r="X164" s="76">
        <f>'CLIENT ENROLLMENT DISCHARGE '!L163</f>
        <v>0</v>
      </c>
      <c r="Y164" s="180"/>
    </row>
    <row r="165" spans="1:25" ht="50.1" customHeight="1" x14ac:dyDescent="0.25">
      <c r="A165" s="5">
        <v>150</v>
      </c>
      <c r="B165" s="10">
        <f>'CLIENT ENROLLMENT DISCHARGE '!B164</f>
        <v>0</v>
      </c>
      <c r="C165" s="4">
        <f>'CLIENT ENROLLMENT DISCHARGE '!C164</f>
        <v>0</v>
      </c>
      <c r="D165" s="52"/>
      <c r="E165" s="53"/>
      <c r="F165" s="52"/>
      <c r="G165" s="53"/>
      <c r="H165" s="63"/>
      <c r="I165" s="116"/>
      <c r="J165" s="144"/>
      <c r="K165" s="71"/>
      <c r="L165" s="53"/>
      <c r="M165" s="2"/>
      <c r="N165" s="1"/>
      <c r="O165" s="218">
        <f t="shared" si="4"/>
        <v>0</v>
      </c>
      <c r="P165" s="218">
        <f t="shared" si="5"/>
        <v>0</v>
      </c>
      <c r="Q165" s="60"/>
      <c r="R165" s="52"/>
      <c r="S165" s="66"/>
      <c r="T165" s="65"/>
      <c r="U165" s="68"/>
      <c r="V165" s="59"/>
      <c r="W165" s="6">
        <f>'CLIENT ENROLLMENT DISCHARGE '!M164</f>
        <v>0</v>
      </c>
      <c r="X165" s="76">
        <f>'CLIENT ENROLLMENT DISCHARGE '!L164</f>
        <v>0</v>
      </c>
      <c r="Y165" s="180"/>
    </row>
    <row r="166" spans="1:25" ht="50.1" customHeight="1" x14ac:dyDescent="0.25">
      <c r="A166" s="5">
        <v>151</v>
      </c>
      <c r="B166" s="10">
        <f>'CLIENT ENROLLMENT DISCHARGE '!B165</f>
        <v>0</v>
      </c>
      <c r="C166" s="4">
        <f>'CLIENT ENROLLMENT DISCHARGE '!C165</f>
        <v>0</v>
      </c>
      <c r="D166" s="51"/>
      <c r="E166" s="52"/>
      <c r="F166" s="51"/>
      <c r="G166" s="52"/>
      <c r="H166" s="62"/>
      <c r="I166" s="115"/>
      <c r="J166" s="143"/>
      <c r="K166" s="70"/>
      <c r="L166" s="52"/>
      <c r="M166" s="8"/>
      <c r="N166" s="7"/>
      <c r="O166" s="218">
        <f t="shared" si="4"/>
        <v>0</v>
      </c>
      <c r="P166" s="218">
        <f t="shared" si="5"/>
        <v>0</v>
      </c>
      <c r="Q166" s="59"/>
      <c r="R166" s="51"/>
      <c r="S166" s="65"/>
      <c r="T166" s="64"/>
      <c r="U166" s="67"/>
      <c r="V166" s="74"/>
      <c r="W166" s="6">
        <f>'CLIENT ENROLLMENT DISCHARGE '!M165</f>
        <v>0</v>
      </c>
      <c r="X166" s="76">
        <f>'CLIENT ENROLLMENT DISCHARGE '!L165</f>
        <v>0</v>
      </c>
      <c r="Y166" s="180"/>
    </row>
    <row r="167" spans="1:25" ht="50.1" customHeight="1" x14ac:dyDescent="0.25">
      <c r="A167" s="5">
        <v>152</v>
      </c>
      <c r="B167" s="10">
        <f>'CLIENT ENROLLMENT DISCHARGE '!B166</f>
        <v>0</v>
      </c>
      <c r="C167" s="4">
        <f>'CLIENT ENROLLMENT DISCHARGE '!C166</f>
        <v>0</v>
      </c>
      <c r="D167" s="52"/>
      <c r="E167" s="53"/>
      <c r="F167" s="52"/>
      <c r="G167" s="53"/>
      <c r="H167" s="63"/>
      <c r="I167" s="116"/>
      <c r="J167" s="144"/>
      <c r="K167" s="71"/>
      <c r="L167" s="53"/>
      <c r="M167" s="2"/>
      <c r="N167" s="1"/>
      <c r="O167" s="218">
        <f t="shared" si="4"/>
        <v>0</v>
      </c>
      <c r="P167" s="218">
        <f t="shared" si="5"/>
        <v>0</v>
      </c>
      <c r="Q167" s="60"/>
      <c r="R167" s="52"/>
      <c r="S167" s="66"/>
      <c r="T167" s="65"/>
      <c r="U167" s="68"/>
      <c r="V167" s="59"/>
      <c r="W167" s="6">
        <f>'CLIENT ENROLLMENT DISCHARGE '!M166</f>
        <v>0</v>
      </c>
      <c r="X167" s="76">
        <f>'CLIENT ENROLLMENT DISCHARGE '!L166</f>
        <v>0</v>
      </c>
      <c r="Y167" s="180"/>
    </row>
    <row r="168" spans="1:25" ht="50.1" customHeight="1" x14ac:dyDescent="0.25">
      <c r="A168" s="5">
        <v>153</v>
      </c>
      <c r="B168" s="10">
        <f>'CLIENT ENROLLMENT DISCHARGE '!B167</f>
        <v>0</v>
      </c>
      <c r="C168" s="4">
        <f>'CLIENT ENROLLMENT DISCHARGE '!C167</f>
        <v>0</v>
      </c>
      <c r="D168" s="51"/>
      <c r="E168" s="52"/>
      <c r="F168" s="51"/>
      <c r="G168" s="52"/>
      <c r="H168" s="62"/>
      <c r="I168" s="115"/>
      <c r="J168" s="143"/>
      <c r="K168" s="70"/>
      <c r="L168" s="52"/>
      <c r="M168" s="8"/>
      <c r="N168" s="7"/>
      <c r="O168" s="218">
        <f t="shared" si="4"/>
        <v>0</v>
      </c>
      <c r="P168" s="218">
        <f t="shared" si="5"/>
        <v>0</v>
      </c>
      <c r="Q168" s="59"/>
      <c r="R168" s="51"/>
      <c r="S168" s="65"/>
      <c r="T168" s="64"/>
      <c r="U168" s="67"/>
      <c r="V168" s="74"/>
      <c r="W168" s="6">
        <f>'CLIENT ENROLLMENT DISCHARGE '!M167</f>
        <v>0</v>
      </c>
      <c r="X168" s="76">
        <f>'CLIENT ENROLLMENT DISCHARGE '!L167</f>
        <v>0</v>
      </c>
      <c r="Y168" s="180"/>
    </row>
    <row r="169" spans="1:25" ht="50.1" customHeight="1" x14ac:dyDescent="0.25">
      <c r="A169" s="5">
        <v>154</v>
      </c>
      <c r="B169" s="10">
        <f>'CLIENT ENROLLMENT DISCHARGE '!B168</f>
        <v>0</v>
      </c>
      <c r="C169" s="4">
        <f>'CLIENT ENROLLMENT DISCHARGE '!C168</f>
        <v>0</v>
      </c>
      <c r="D169" s="52"/>
      <c r="E169" s="53"/>
      <c r="F169" s="52"/>
      <c r="G169" s="53"/>
      <c r="H169" s="63"/>
      <c r="I169" s="116"/>
      <c r="J169" s="144"/>
      <c r="K169" s="71"/>
      <c r="L169" s="53"/>
      <c r="M169" s="2"/>
      <c r="N169" s="1"/>
      <c r="O169" s="218">
        <f t="shared" si="4"/>
        <v>0</v>
      </c>
      <c r="P169" s="218">
        <f t="shared" si="5"/>
        <v>0</v>
      </c>
      <c r="Q169" s="60"/>
      <c r="R169" s="52"/>
      <c r="S169" s="66"/>
      <c r="T169" s="65"/>
      <c r="U169" s="68"/>
      <c r="V169" s="59"/>
      <c r="W169" s="6">
        <f>'CLIENT ENROLLMENT DISCHARGE '!M168</f>
        <v>0</v>
      </c>
      <c r="X169" s="76">
        <f>'CLIENT ENROLLMENT DISCHARGE '!L168</f>
        <v>0</v>
      </c>
      <c r="Y169" s="180"/>
    </row>
    <row r="170" spans="1:25" ht="50.1" customHeight="1" x14ac:dyDescent="0.25">
      <c r="A170" s="5">
        <v>155</v>
      </c>
      <c r="B170" s="10">
        <f>'CLIENT ENROLLMENT DISCHARGE '!B169</f>
        <v>0</v>
      </c>
      <c r="C170" s="4">
        <f>'CLIENT ENROLLMENT DISCHARGE '!C169</f>
        <v>0</v>
      </c>
      <c r="D170" s="51"/>
      <c r="E170" s="52"/>
      <c r="F170" s="51"/>
      <c r="G170" s="52"/>
      <c r="H170" s="62"/>
      <c r="I170" s="115"/>
      <c r="J170" s="143"/>
      <c r="K170" s="70"/>
      <c r="L170" s="52"/>
      <c r="M170" s="8"/>
      <c r="N170" s="7"/>
      <c r="O170" s="218">
        <f t="shared" si="4"/>
        <v>0</v>
      </c>
      <c r="P170" s="218">
        <f t="shared" si="5"/>
        <v>0</v>
      </c>
      <c r="Q170" s="59"/>
      <c r="R170" s="51"/>
      <c r="S170" s="65"/>
      <c r="T170" s="64"/>
      <c r="U170" s="67"/>
      <c r="V170" s="74"/>
      <c r="W170" s="6">
        <f>'CLIENT ENROLLMENT DISCHARGE '!M169</f>
        <v>0</v>
      </c>
      <c r="X170" s="76">
        <f>'CLIENT ENROLLMENT DISCHARGE '!L169</f>
        <v>0</v>
      </c>
      <c r="Y170" s="180"/>
    </row>
    <row r="171" spans="1:25" ht="50.1" customHeight="1" x14ac:dyDescent="0.25">
      <c r="A171" s="5">
        <v>156</v>
      </c>
      <c r="B171" s="10">
        <f>'CLIENT ENROLLMENT DISCHARGE '!B170</f>
        <v>0</v>
      </c>
      <c r="C171" s="4">
        <f>'CLIENT ENROLLMENT DISCHARGE '!C170</f>
        <v>0</v>
      </c>
      <c r="D171" s="52"/>
      <c r="E171" s="53"/>
      <c r="F171" s="52"/>
      <c r="G171" s="53"/>
      <c r="H171" s="63"/>
      <c r="I171" s="116"/>
      <c r="J171" s="144"/>
      <c r="K171" s="71"/>
      <c r="L171" s="53"/>
      <c r="M171" s="2"/>
      <c r="N171" s="1"/>
      <c r="O171" s="218">
        <f t="shared" si="4"/>
        <v>0</v>
      </c>
      <c r="P171" s="218">
        <f t="shared" si="5"/>
        <v>0</v>
      </c>
      <c r="Q171" s="60"/>
      <c r="R171" s="52"/>
      <c r="S171" s="66"/>
      <c r="T171" s="65"/>
      <c r="U171" s="68"/>
      <c r="V171" s="75"/>
      <c r="W171" s="6">
        <f>'CLIENT ENROLLMENT DISCHARGE '!M170</f>
        <v>0</v>
      </c>
      <c r="X171" s="76">
        <f>'CLIENT ENROLLMENT DISCHARGE '!L170</f>
        <v>0</v>
      </c>
      <c r="Y171" s="180"/>
    </row>
    <row r="172" spans="1:25" ht="50.1" customHeight="1" x14ac:dyDescent="0.25">
      <c r="A172" s="5">
        <v>157</v>
      </c>
      <c r="B172" s="10">
        <f>'CLIENT ENROLLMENT DISCHARGE '!B171</f>
        <v>0</v>
      </c>
      <c r="C172" s="4">
        <f>'CLIENT ENROLLMENT DISCHARGE '!C171</f>
        <v>0</v>
      </c>
      <c r="D172" s="51"/>
      <c r="E172" s="52"/>
      <c r="F172" s="51"/>
      <c r="G172" s="52"/>
      <c r="H172" s="62"/>
      <c r="I172" s="115"/>
      <c r="J172" s="143"/>
      <c r="K172" s="70"/>
      <c r="L172" s="52"/>
      <c r="M172" s="8"/>
      <c r="N172" s="7"/>
      <c r="O172" s="218">
        <f t="shared" si="4"/>
        <v>0</v>
      </c>
      <c r="P172" s="218">
        <f t="shared" si="5"/>
        <v>0</v>
      </c>
      <c r="Q172" s="59"/>
      <c r="R172" s="51"/>
      <c r="S172" s="65"/>
      <c r="T172" s="64"/>
      <c r="U172" s="67"/>
      <c r="V172" s="74"/>
      <c r="W172" s="6">
        <f>'CLIENT ENROLLMENT DISCHARGE '!M171</f>
        <v>0</v>
      </c>
      <c r="X172" s="76">
        <f>'CLIENT ENROLLMENT DISCHARGE '!L171</f>
        <v>0</v>
      </c>
      <c r="Y172" s="180"/>
    </row>
    <row r="173" spans="1:25" ht="50.1" customHeight="1" x14ac:dyDescent="0.25">
      <c r="A173" s="5">
        <v>158</v>
      </c>
      <c r="B173" s="10">
        <f>'CLIENT ENROLLMENT DISCHARGE '!B172</f>
        <v>0</v>
      </c>
      <c r="C173" s="4">
        <f>'CLIENT ENROLLMENT DISCHARGE '!C172</f>
        <v>0</v>
      </c>
      <c r="D173" s="52"/>
      <c r="E173" s="53"/>
      <c r="F173" s="52"/>
      <c r="G173" s="53"/>
      <c r="H173" s="63"/>
      <c r="I173" s="116"/>
      <c r="J173" s="144"/>
      <c r="K173" s="71"/>
      <c r="L173" s="53"/>
      <c r="M173" s="2"/>
      <c r="N173" s="1"/>
      <c r="O173" s="218">
        <f t="shared" si="4"/>
        <v>0</v>
      </c>
      <c r="P173" s="218">
        <f t="shared" si="5"/>
        <v>0</v>
      </c>
      <c r="Q173" s="60"/>
      <c r="R173" s="52"/>
      <c r="S173" s="66"/>
      <c r="T173" s="65"/>
      <c r="U173" s="68"/>
      <c r="V173" s="59"/>
      <c r="W173" s="6">
        <f>'CLIENT ENROLLMENT DISCHARGE '!M172</f>
        <v>0</v>
      </c>
      <c r="X173" s="76">
        <f>'CLIENT ENROLLMENT DISCHARGE '!L172</f>
        <v>0</v>
      </c>
      <c r="Y173" s="180"/>
    </row>
    <row r="174" spans="1:25" ht="50.1" customHeight="1" x14ac:dyDescent="0.25">
      <c r="A174" s="5">
        <v>159</v>
      </c>
      <c r="B174" s="10">
        <f>'CLIENT ENROLLMENT DISCHARGE '!B173</f>
        <v>0</v>
      </c>
      <c r="C174" s="4">
        <f>'CLIENT ENROLLMENT DISCHARGE '!C173</f>
        <v>0</v>
      </c>
      <c r="D174" s="51"/>
      <c r="E174" s="52"/>
      <c r="F174" s="51"/>
      <c r="G174" s="52"/>
      <c r="H174" s="62"/>
      <c r="I174" s="115"/>
      <c r="J174" s="143"/>
      <c r="K174" s="70"/>
      <c r="L174" s="52"/>
      <c r="M174" s="8"/>
      <c r="N174" s="7"/>
      <c r="O174" s="218">
        <f t="shared" si="4"/>
        <v>0</v>
      </c>
      <c r="P174" s="218">
        <f t="shared" si="5"/>
        <v>0</v>
      </c>
      <c r="Q174" s="59"/>
      <c r="R174" s="51"/>
      <c r="S174" s="65"/>
      <c r="T174" s="64"/>
      <c r="U174" s="67"/>
      <c r="V174" s="74"/>
      <c r="W174" s="6">
        <f>'CLIENT ENROLLMENT DISCHARGE '!M173</f>
        <v>0</v>
      </c>
      <c r="X174" s="76">
        <f>'CLIENT ENROLLMENT DISCHARGE '!L173</f>
        <v>0</v>
      </c>
      <c r="Y174" s="180"/>
    </row>
    <row r="175" spans="1:25" ht="50.1" customHeight="1" x14ac:dyDescent="0.25">
      <c r="A175" s="5">
        <v>160</v>
      </c>
      <c r="B175" s="10">
        <f>'CLIENT ENROLLMENT DISCHARGE '!B174</f>
        <v>0</v>
      </c>
      <c r="C175" s="4">
        <f>'CLIENT ENROLLMENT DISCHARGE '!C174</f>
        <v>0</v>
      </c>
      <c r="D175" s="52"/>
      <c r="E175" s="53"/>
      <c r="F175" s="52"/>
      <c r="G175" s="53"/>
      <c r="H175" s="63"/>
      <c r="I175" s="116"/>
      <c r="J175" s="144"/>
      <c r="K175" s="71"/>
      <c r="L175" s="53"/>
      <c r="M175" s="2"/>
      <c r="N175" s="1"/>
      <c r="O175" s="218">
        <f t="shared" si="4"/>
        <v>0</v>
      </c>
      <c r="P175" s="218">
        <f t="shared" si="5"/>
        <v>0</v>
      </c>
      <c r="Q175" s="60"/>
      <c r="R175" s="52"/>
      <c r="S175" s="66"/>
      <c r="T175" s="65"/>
      <c r="U175" s="68"/>
      <c r="V175" s="59"/>
      <c r="W175" s="6">
        <f>'CLIENT ENROLLMENT DISCHARGE '!M174</f>
        <v>0</v>
      </c>
      <c r="X175" s="76">
        <f>'CLIENT ENROLLMENT DISCHARGE '!L174</f>
        <v>0</v>
      </c>
      <c r="Y175" s="180"/>
    </row>
    <row r="176" spans="1:25" ht="50.1" customHeight="1" x14ac:dyDescent="0.25">
      <c r="A176" s="5">
        <v>161</v>
      </c>
      <c r="B176" s="10">
        <f>'CLIENT ENROLLMENT DISCHARGE '!B175</f>
        <v>0</v>
      </c>
      <c r="C176" s="4">
        <f>'CLIENT ENROLLMENT DISCHARGE '!C175</f>
        <v>0</v>
      </c>
      <c r="D176" s="51"/>
      <c r="E176" s="52"/>
      <c r="F176" s="51"/>
      <c r="G176" s="52"/>
      <c r="H176" s="62"/>
      <c r="I176" s="115"/>
      <c r="J176" s="143"/>
      <c r="K176" s="70"/>
      <c r="L176" s="52"/>
      <c r="M176" s="8"/>
      <c r="N176" s="7"/>
      <c r="O176" s="218">
        <f t="shared" si="4"/>
        <v>0</v>
      </c>
      <c r="P176" s="218">
        <f t="shared" si="5"/>
        <v>0</v>
      </c>
      <c r="Q176" s="59"/>
      <c r="R176" s="51"/>
      <c r="S176" s="65"/>
      <c r="T176" s="64"/>
      <c r="U176" s="67"/>
      <c r="V176" s="74"/>
      <c r="W176" s="6">
        <f>'CLIENT ENROLLMENT DISCHARGE '!M175</f>
        <v>0</v>
      </c>
      <c r="X176" s="76">
        <f>'CLIENT ENROLLMENT DISCHARGE '!L175</f>
        <v>0</v>
      </c>
      <c r="Y176" s="180"/>
    </row>
    <row r="177" spans="1:25" ht="50.1" customHeight="1" x14ac:dyDescent="0.25">
      <c r="A177" s="5">
        <v>162</v>
      </c>
      <c r="B177" s="10">
        <f>'CLIENT ENROLLMENT DISCHARGE '!B176</f>
        <v>0</v>
      </c>
      <c r="C177" s="4">
        <f>'CLIENT ENROLLMENT DISCHARGE '!C176</f>
        <v>0</v>
      </c>
      <c r="D177" s="52"/>
      <c r="E177" s="53"/>
      <c r="F177" s="52"/>
      <c r="G177" s="53"/>
      <c r="H177" s="63"/>
      <c r="I177" s="116"/>
      <c r="J177" s="144"/>
      <c r="K177" s="71"/>
      <c r="L177" s="53"/>
      <c r="M177" s="2"/>
      <c r="N177" s="1"/>
      <c r="O177" s="218">
        <f t="shared" si="4"/>
        <v>0</v>
      </c>
      <c r="P177" s="218">
        <f t="shared" si="5"/>
        <v>0</v>
      </c>
      <c r="Q177" s="60"/>
      <c r="R177" s="52"/>
      <c r="S177" s="66"/>
      <c r="T177" s="65"/>
      <c r="U177" s="68"/>
      <c r="V177" s="59"/>
      <c r="W177" s="6">
        <f>'CLIENT ENROLLMENT DISCHARGE '!M176</f>
        <v>0</v>
      </c>
      <c r="X177" s="76">
        <f>'CLIENT ENROLLMENT DISCHARGE '!L176</f>
        <v>0</v>
      </c>
      <c r="Y177" s="180"/>
    </row>
    <row r="178" spans="1:25" ht="50.1" customHeight="1" x14ac:dyDescent="0.25">
      <c r="A178" s="5">
        <v>163</v>
      </c>
      <c r="B178" s="10">
        <f>'CLIENT ENROLLMENT DISCHARGE '!B177</f>
        <v>0</v>
      </c>
      <c r="C178" s="4">
        <f>'CLIENT ENROLLMENT DISCHARGE '!C177</f>
        <v>0</v>
      </c>
      <c r="D178" s="51"/>
      <c r="E178" s="52"/>
      <c r="F178" s="51"/>
      <c r="G178" s="52"/>
      <c r="H178" s="62"/>
      <c r="I178" s="115"/>
      <c r="J178" s="143"/>
      <c r="K178" s="70"/>
      <c r="L178" s="52"/>
      <c r="M178" s="8"/>
      <c r="N178" s="7"/>
      <c r="O178" s="218">
        <f t="shared" si="4"/>
        <v>0</v>
      </c>
      <c r="P178" s="218">
        <f t="shared" si="5"/>
        <v>0</v>
      </c>
      <c r="Q178" s="59"/>
      <c r="R178" s="51"/>
      <c r="S178" s="65"/>
      <c r="T178" s="64"/>
      <c r="U178" s="67"/>
      <c r="V178" s="74"/>
      <c r="W178" s="6">
        <f>'CLIENT ENROLLMENT DISCHARGE '!M177</f>
        <v>0</v>
      </c>
      <c r="X178" s="76">
        <f>'CLIENT ENROLLMENT DISCHARGE '!L177</f>
        <v>0</v>
      </c>
      <c r="Y178" s="180"/>
    </row>
    <row r="179" spans="1:25" ht="50.1" customHeight="1" x14ac:dyDescent="0.25">
      <c r="A179" s="5">
        <v>164</v>
      </c>
      <c r="B179" s="10">
        <f>'CLIENT ENROLLMENT DISCHARGE '!B178</f>
        <v>0</v>
      </c>
      <c r="C179" s="4">
        <f>'CLIENT ENROLLMENT DISCHARGE '!C178</f>
        <v>0</v>
      </c>
      <c r="D179" s="52"/>
      <c r="E179" s="53"/>
      <c r="F179" s="52"/>
      <c r="G179" s="53"/>
      <c r="H179" s="63"/>
      <c r="I179" s="116"/>
      <c r="J179" s="144"/>
      <c r="K179" s="71"/>
      <c r="L179" s="53"/>
      <c r="M179" s="2"/>
      <c r="N179" s="1"/>
      <c r="O179" s="218">
        <f t="shared" si="4"/>
        <v>0</v>
      </c>
      <c r="P179" s="218">
        <f t="shared" si="5"/>
        <v>0</v>
      </c>
      <c r="Q179" s="60"/>
      <c r="R179" s="52"/>
      <c r="S179" s="66"/>
      <c r="T179" s="65"/>
      <c r="U179" s="68"/>
      <c r="V179" s="59"/>
      <c r="W179" s="6">
        <f>'CLIENT ENROLLMENT DISCHARGE '!M178</f>
        <v>0</v>
      </c>
      <c r="X179" s="76">
        <f>'CLIENT ENROLLMENT DISCHARGE '!L178</f>
        <v>0</v>
      </c>
      <c r="Y179" s="180"/>
    </row>
    <row r="180" spans="1:25" ht="50.1" customHeight="1" x14ac:dyDescent="0.25">
      <c r="A180" s="5">
        <v>165</v>
      </c>
      <c r="B180" s="10">
        <f>'CLIENT ENROLLMENT DISCHARGE '!B179</f>
        <v>0</v>
      </c>
      <c r="C180" s="4">
        <f>'CLIENT ENROLLMENT DISCHARGE '!C179</f>
        <v>0</v>
      </c>
      <c r="D180" s="51"/>
      <c r="E180" s="52"/>
      <c r="F180" s="51"/>
      <c r="G180" s="52"/>
      <c r="H180" s="62"/>
      <c r="I180" s="115"/>
      <c r="J180" s="143"/>
      <c r="K180" s="70"/>
      <c r="L180" s="52"/>
      <c r="M180" s="8"/>
      <c r="N180" s="7"/>
      <c r="O180" s="218">
        <f t="shared" si="4"/>
        <v>0</v>
      </c>
      <c r="P180" s="218">
        <f t="shared" si="5"/>
        <v>0</v>
      </c>
      <c r="Q180" s="59"/>
      <c r="R180" s="51"/>
      <c r="S180" s="65"/>
      <c r="T180" s="64"/>
      <c r="U180" s="67"/>
      <c r="V180" s="74"/>
      <c r="W180" s="6">
        <f>'CLIENT ENROLLMENT DISCHARGE '!M179</f>
        <v>0</v>
      </c>
      <c r="X180" s="76">
        <f>'CLIENT ENROLLMENT DISCHARGE '!L179</f>
        <v>0</v>
      </c>
      <c r="Y180" s="180"/>
    </row>
    <row r="181" spans="1:25" ht="50.1" customHeight="1" x14ac:dyDescent="0.25">
      <c r="A181" s="5">
        <v>166</v>
      </c>
      <c r="B181" s="10">
        <f>'CLIENT ENROLLMENT DISCHARGE '!B180</f>
        <v>0</v>
      </c>
      <c r="C181" s="4">
        <f>'CLIENT ENROLLMENT DISCHARGE '!C180</f>
        <v>0</v>
      </c>
      <c r="D181" s="52"/>
      <c r="E181" s="53"/>
      <c r="F181" s="52"/>
      <c r="G181" s="53"/>
      <c r="H181" s="63"/>
      <c r="I181" s="116"/>
      <c r="J181" s="3"/>
      <c r="K181" s="71"/>
      <c r="L181" s="53"/>
      <c r="M181" s="2"/>
      <c r="N181" s="1"/>
      <c r="O181" s="218">
        <f t="shared" si="4"/>
        <v>0</v>
      </c>
      <c r="P181" s="218">
        <f t="shared" si="5"/>
        <v>0</v>
      </c>
      <c r="Q181" s="60"/>
      <c r="R181" s="52"/>
      <c r="S181" s="66"/>
      <c r="T181" s="65"/>
      <c r="U181" s="68"/>
      <c r="V181" s="75"/>
      <c r="W181" s="6">
        <f>'CLIENT ENROLLMENT DISCHARGE '!M180</f>
        <v>0</v>
      </c>
      <c r="X181" s="76">
        <f>'CLIENT ENROLLMENT DISCHARGE '!L180</f>
        <v>0</v>
      </c>
      <c r="Y181" s="180"/>
    </row>
    <row r="182" spans="1:25" ht="50.1" customHeight="1" x14ac:dyDescent="0.25">
      <c r="A182" s="5">
        <v>167</v>
      </c>
      <c r="B182" s="10">
        <f>'CLIENT ENROLLMENT DISCHARGE '!B181</f>
        <v>0</v>
      </c>
      <c r="C182" s="4">
        <f>'CLIENT ENROLLMENT DISCHARGE '!C181</f>
        <v>0</v>
      </c>
      <c r="D182" s="51"/>
      <c r="E182" s="52"/>
      <c r="F182" s="51"/>
      <c r="G182" s="52"/>
      <c r="H182" s="62"/>
      <c r="I182" s="115"/>
      <c r="J182" s="143"/>
      <c r="K182" s="70"/>
      <c r="L182" s="52"/>
      <c r="M182" s="8"/>
      <c r="N182" s="7"/>
      <c r="O182" s="218">
        <f t="shared" si="4"/>
        <v>0</v>
      </c>
      <c r="P182" s="218">
        <f t="shared" si="5"/>
        <v>0</v>
      </c>
      <c r="Q182" s="59"/>
      <c r="R182" s="51"/>
      <c r="S182" s="65"/>
      <c r="T182" s="64"/>
      <c r="U182" s="67"/>
      <c r="V182" s="74"/>
      <c r="W182" s="6">
        <f>'CLIENT ENROLLMENT DISCHARGE '!M181</f>
        <v>0</v>
      </c>
      <c r="X182" s="76">
        <f>'CLIENT ENROLLMENT DISCHARGE '!L181</f>
        <v>0</v>
      </c>
      <c r="Y182" s="180"/>
    </row>
    <row r="183" spans="1:25" ht="50.1" customHeight="1" x14ac:dyDescent="0.25">
      <c r="A183" s="5">
        <v>168</v>
      </c>
      <c r="B183" s="10">
        <f>'CLIENT ENROLLMENT DISCHARGE '!B182</f>
        <v>0</v>
      </c>
      <c r="C183" s="4">
        <f>'CLIENT ENROLLMENT DISCHARGE '!C182</f>
        <v>0</v>
      </c>
      <c r="D183" s="52"/>
      <c r="E183" s="53"/>
      <c r="F183" s="52"/>
      <c r="G183" s="53"/>
      <c r="H183" s="63"/>
      <c r="I183" s="116"/>
      <c r="J183" s="144"/>
      <c r="K183" s="71"/>
      <c r="L183" s="53"/>
      <c r="M183" s="2"/>
      <c r="N183" s="1"/>
      <c r="O183" s="218">
        <f t="shared" si="4"/>
        <v>0</v>
      </c>
      <c r="P183" s="218">
        <f t="shared" si="5"/>
        <v>0</v>
      </c>
      <c r="Q183" s="60"/>
      <c r="R183" s="52"/>
      <c r="S183" s="66"/>
      <c r="T183" s="65"/>
      <c r="U183" s="68"/>
      <c r="V183" s="59"/>
      <c r="W183" s="6">
        <f>'CLIENT ENROLLMENT DISCHARGE '!M182</f>
        <v>0</v>
      </c>
      <c r="X183" s="76">
        <f>'CLIENT ENROLLMENT DISCHARGE '!L182</f>
        <v>0</v>
      </c>
      <c r="Y183" s="180"/>
    </row>
    <row r="184" spans="1:25" ht="50.1" customHeight="1" x14ac:dyDescent="0.25">
      <c r="A184" s="5">
        <v>169</v>
      </c>
      <c r="B184" s="10">
        <f>'CLIENT ENROLLMENT DISCHARGE '!B183</f>
        <v>0</v>
      </c>
      <c r="C184" s="4">
        <f>'CLIENT ENROLLMENT DISCHARGE '!C183</f>
        <v>0</v>
      </c>
      <c r="D184" s="51"/>
      <c r="E184" s="52"/>
      <c r="F184" s="51"/>
      <c r="G184" s="52"/>
      <c r="H184" s="62"/>
      <c r="I184" s="115"/>
      <c r="J184" s="143"/>
      <c r="K184" s="70"/>
      <c r="L184" s="52"/>
      <c r="M184" s="8"/>
      <c r="N184" s="7"/>
      <c r="O184" s="218">
        <f t="shared" si="4"/>
        <v>0</v>
      </c>
      <c r="P184" s="218">
        <f t="shared" si="5"/>
        <v>0</v>
      </c>
      <c r="Q184" s="59"/>
      <c r="R184" s="51"/>
      <c r="S184" s="65"/>
      <c r="T184" s="64"/>
      <c r="U184" s="67"/>
      <c r="V184" s="74"/>
      <c r="W184" s="6">
        <f>'CLIENT ENROLLMENT DISCHARGE '!M183</f>
        <v>0</v>
      </c>
      <c r="X184" s="76">
        <f>'CLIENT ENROLLMENT DISCHARGE '!L183</f>
        <v>0</v>
      </c>
      <c r="Y184" s="180"/>
    </row>
    <row r="185" spans="1:25" ht="50.1" customHeight="1" x14ac:dyDescent="0.25">
      <c r="A185" s="5">
        <v>170</v>
      </c>
      <c r="B185" s="10">
        <f>'CLIENT ENROLLMENT DISCHARGE '!B184</f>
        <v>0</v>
      </c>
      <c r="C185" s="4">
        <f>'CLIENT ENROLLMENT DISCHARGE '!C184</f>
        <v>0</v>
      </c>
      <c r="D185" s="52"/>
      <c r="E185" s="53"/>
      <c r="F185" s="52"/>
      <c r="G185" s="53"/>
      <c r="H185" s="63"/>
      <c r="I185" s="116"/>
      <c r="J185" s="144"/>
      <c r="K185" s="71"/>
      <c r="L185" s="53"/>
      <c r="M185" s="2"/>
      <c r="N185" s="1"/>
      <c r="O185" s="218">
        <f t="shared" si="4"/>
        <v>0</v>
      </c>
      <c r="P185" s="218">
        <f t="shared" si="5"/>
        <v>0</v>
      </c>
      <c r="Q185" s="60"/>
      <c r="R185" s="52"/>
      <c r="S185" s="66"/>
      <c r="T185" s="65"/>
      <c r="U185" s="68"/>
      <c r="V185" s="59"/>
      <c r="W185" s="6">
        <f>'CLIENT ENROLLMENT DISCHARGE '!M184</f>
        <v>0</v>
      </c>
      <c r="X185" s="76">
        <f>'CLIENT ENROLLMENT DISCHARGE '!L184</f>
        <v>0</v>
      </c>
      <c r="Y185" s="180"/>
    </row>
    <row r="186" spans="1:25" ht="50.1" customHeight="1" x14ac:dyDescent="0.25">
      <c r="A186" s="5">
        <v>171</v>
      </c>
      <c r="B186" s="10">
        <f>'CLIENT ENROLLMENT DISCHARGE '!B185</f>
        <v>0</v>
      </c>
      <c r="C186" s="4">
        <f>'CLIENT ENROLLMENT DISCHARGE '!C185</f>
        <v>0</v>
      </c>
      <c r="D186" s="51"/>
      <c r="E186" s="52"/>
      <c r="F186" s="51"/>
      <c r="G186" s="52"/>
      <c r="H186" s="62"/>
      <c r="I186" s="115"/>
      <c r="J186" s="143"/>
      <c r="K186" s="70"/>
      <c r="L186" s="52"/>
      <c r="M186" s="8"/>
      <c r="N186" s="7"/>
      <c r="O186" s="218">
        <f t="shared" si="4"/>
        <v>0</v>
      </c>
      <c r="P186" s="218">
        <f t="shared" si="5"/>
        <v>0</v>
      </c>
      <c r="Q186" s="59"/>
      <c r="R186" s="51"/>
      <c r="S186" s="65"/>
      <c r="T186" s="64"/>
      <c r="U186" s="67"/>
      <c r="V186" s="74"/>
      <c r="W186" s="6">
        <f>'CLIENT ENROLLMENT DISCHARGE '!M185</f>
        <v>0</v>
      </c>
      <c r="X186" s="76">
        <f>'CLIENT ENROLLMENT DISCHARGE '!L185</f>
        <v>0</v>
      </c>
      <c r="Y186" s="180"/>
    </row>
    <row r="187" spans="1:25" ht="50.1" customHeight="1" x14ac:dyDescent="0.25">
      <c r="A187" s="5">
        <v>172</v>
      </c>
      <c r="B187" s="10">
        <f>'CLIENT ENROLLMENT DISCHARGE '!B186</f>
        <v>0</v>
      </c>
      <c r="C187" s="4">
        <f>'CLIENT ENROLLMENT DISCHARGE '!C186</f>
        <v>0</v>
      </c>
      <c r="D187" s="52"/>
      <c r="E187" s="53"/>
      <c r="F187" s="52"/>
      <c r="G187" s="53"/>
      <c r="H187" s="63"/>
      <c r="I187" s="116"/>
      <c r="J187" s="144"/>
      <c r="K187" s="71"/>
      <c r="L187" s="53"/>
      <c r="M187" s="2"/>
      <c r="N187" s="1"/>
      <c r="O187" s="218">
        <f t="shared" si="4"/>
        <v>0</v>
      </c>
      <c r="P187" s="218">
        <f t="shared" si="5"/>
        <v>0</v>
      </c>
      <c r="Q187" s="60"/>
      <c r="R187" s="52"/>
      <c r="S187" s="66"/>
      <c r="T187" s="65"/>
      <c r="U187" s="68"/>
      <c r="V187" s="59"/>
      <c r="W187" s="6">
        <f>'CLIENT ENROLLMENT DISCHARGE '!M186</f>
        <v>0</v>
      </c>
      <c r="X187" s="76">
        <f>'CLIENT ENROLLMENT DISCHARGE '!L186</f>
        <v>0</v>
      </c>
      <c r="Y187" s="180"/>
    </row>
    <row r="188" spans="1:25" ht="50.1" customHeight="1" x14ac:dyDescent="0.25">
      <c r="A188" s="5">
        <v>173</v>
      </c>
      <c r="B188" s="10">
        <f>'CLIENT ENROLLMENT DISCHARGE '!B187</f>
        <v>0</v>
      </c>
      <c r="C188" s="4">
        <f>'CLIENT ENROLLMENT DISCHARGE '!C187</f>
        <v>0</v>
      </c>
      <c r="D188" s="51"/>
      <c r="E188" s="52"/>
      <c r="F188" s="51"/>
      <c r="G188" s="52"/>
      <c r="H188" s="62"/>
      <c r="I188" s="115"/>
      <c r="J188" s="143"/>
      <c r="K188" s="70"/>
      <c r="L188" s="52"/>
      <c r="M188" s="8"/>
      <c r="N188" s="7"/>
      <c r="O188" s="218">
        <f t="shared" si="4"/>
        <v>0</v>
      </c>
      <c r="P188" s="218">
        <f t="shared" si="5"/>
        <v>0</v>
      </c>
      <c r="Q188" s="59"/>
      <c r="R188" s="51"/>
      <c r="S188" s="65"/>
      <c r="T188" s="64"/>
      <c r="U188" s="67"/>
      <c r="V188" s="74"/>
      <c r="W188" s="6">
        <f>'CLIENT ENROLLMENT DISCHARGE '!M187</f>
        <v>0</v>
      </c>
      <c r="X188" s="76">
        <f>'CLIENT ENROLLMENT DISCHARGE '!L187</f>
        <v>0</v>
      </c>
      <c r="Y188" s="180"/>
    </row>
    <row r="189" spans="1:25" ht="50.1" customHeight="1" x14ac:dyDescent="0.25">
      <c r="A189" s="5">
        <v>174</v>
      </c>
      <c r="B189" s="10">
        <f>'CLIENT ENROLLMENT DISCHARGE '!B188</f>
        <v>0</v>
      </c>
      <c r="C189" s="4">
        <f>'CLIENT ENROLLMENT DISCHARGE '!C188</f>
        <v>0</v>
      </c>
      <c r="D189" s="52"/>
      <c r="E189" s="53"/>
      <c r="F189" s="52"/>
      <c r="G189" s="53"/>
      <c r="H189" s="63"/>
      <c r="I189" s="116"/>
      <c r="J189" s="144"/>
      <c r="K189" s="71"/>
      <c r="L189" s="53"/>
      <c r="M189" s="2"/>
      <c r="N189" s="1"/>
      <c r="O189" s="218">
        <f t="shared" si="4"/>
        <v>0</v>
      </c>
      <c r="P189" s="218">
        <f t="shared" si="5"/>
        <v>0</v>
      </c>
      <c r="Q189" s="60"/>
      <c r="R189" s="52"/>
      <c r="S189" s="66"/>
      <c r="T189" s="65"/>
      <c r="U189" s="68"/>
      <c r="V189" s="59"/>
      <c r="W189" s="6">
        <f>'CLIENT ENROLLMENT DISCHARGE '!M188</f>
        <v>0</v>
      </c>
      <c r="X189" s="76">
        <f>'CLIENT ENROLLMENT DISCHARGE '!L188</f>
        <v>0</v>
      </c>
      <c r="Y189" s="180"/>
    </row>
    <row r="190" spans="1:25" ht="50.1" customHeight="1" x14ac:dyDescent="0.25">
      <c r="A190" s="5">
        <v>175</v>
      </c>
      <c r="B190" s="10">
        <f>'CLIENT ENROLLMENT DISCHARGE '!B189</f>
        <v>0</v>
      </c>
      <c r="C190" s="4">
        <f>'CLIENT ENROLLMENT DISCHARGE '!C189</f>
        <v>0</v>
      </c>
      <c r="D190" s="51"/>
      <c r="E190" s="52"/>
      <c r="F190" s="51"/>
      <c r="G190" s="52"/>
      <c r="H190" s="62"/>
      <c r="I190" s="115"/>
      <c r="J190" s="143"/>
      <c r="K190" s="70"/>
      <c r="L190" s="52"/>
      <c r="M190" s="8"/>
      <c r="N190" s="7"/>
      <c r="O190" s="218">
        <f t="shared" si="4"/>
        <v>0</v>
      </c>
      <c r="P190" s="218">
        <f t="shared" si="5"/>
        <v>0</v>
      </c>
      <c r="Q190" s="59"/>
      <c r="R190" s="51"/>
      <c r="S190" s="65"/>
      <c r="T190" s="64"/>
      <c r="U190" s="67"/>
      <c r="V190" s="74"/>
      <c r="W190" s="6">
        <f>'CLIENT ENROLLMENT DISCHARGE '!M189</f>
        <v>0</v>
      </c>
      <c r="X190" s="76">
        <f>'CLIENT ENROLLMENT DISCHARGE '!L189</f>
        <v>0</v>
      </c>
      <c r="Y190" s="180"/>
    </row>
    <row r="191" spans="1:25" ht="50.1" customHeight="1" x14ac:dyDescent="0.25">
      <c r="A191" s="5">
        <v>176</v>
      </c>
      <c r="B191" s="10">
        <f>'CLIENT ENROLLMENT DISCHARGE '!B190</f>
        <v>0</v>
      </c>
      <c r="C191" s="4">
        <f>'CLIENT ENROLLMENT DISCHARGE '!C190</f>
        <v>0</v>
      </c>
      <c r="D191" s="52"/>
      <c r="E191" s="53"/>
      <c r="F191" s="52"/>
      <c r="G191" s="53"/>
      <c r="H191" s="63"/>
      <c r="I191" s="116"/>
      <c r="J191" s="144"/>
      <c r="K191" s="71"/>
      <c r="L191" s="53"/>
      <c r="M191" s="2"/>
      <c r="N191" s="1"/>
      <c r="O191" s="218">
        <f t="shared" si="4"/>
        <v>0</v>
      </c>
      <c r="P191" s="218">
        <f t="shared" si="5"/>
        <v>0</v>
      </c>
      <c r="Q191" s="60"/>
      <c r="R191" s="52"/>
      <c r="S191" s="66"/>
      <c r="T191" s="65"/>
      <c r="U191" s="68"/>
      <c r="V191" s="75"/>
      <c r="W191" s="6">
        <f>'CLIENT ENROLLMENT DISCHARGE '!M190</f>
        <v>0</v>
      </c>
      <c r="X191" s="76">
        <f>'CLIENT ENROLLMENT DISCHARGE '!L190</f>
        <v>0</v>
      </c>
      <c r="Y191" s="180"/>
    </row>
    <row r="192" spans="1:25" ht="50.1" customHeight="1" x14ac:dyDescent="0.25">
      <c r="A192" s="5">
        <v>177</v>
      </c>
      <c r="B192" s="10">
        <f>'CLIENT ENROLLMENT DISCHARGE '!B191</f>
        <v>0</v>
      </c>
      <c r="C192" s="4">
        <f>'CLIENT ENROLLMENT DISCHARGE '!C191</f>
        <v>0</v>
      </c>
      <c r="D192" s="51"/>
      <c r="E192" s="52"/>
      <c r="F192" s="51"/>
      <c r="G192" s="52"/>
      <c r="H192" s="62"/>
      <c r="I192" s="115"/>
      <c r="J192" s="143"/>
      <c r="K192" s="70"/>
      <c r="L192" s="52"/>
      <c r="M192" s="8"/>
      <c r="N192" s="7"/>
      <c r="O192" s="218">
        <f t="shared" si="4"/>
        <v>0</v>
      </c>
      <c r="P192" s="218">
        <f t="shared" si="5"/>
        <v>0</v>
      </c>
      <c r="Q192" s="59"/>
      <c r="R192" s="51"/>
      <c r="S192" s="65"/>
      <c r="T192" s="64"/>
      <c r="U192" s="67"/>
      <c r="V192" s="74"/>
      <c r="W192" s="6">
        <f>'CLIENT ENROLLMENT DISCHARGE '!M191</f>
        <v>0</v>
      </c>
      <c r="X192" s="76">
        <f>'CLIENT ENROLLMENT DISCHARGE '!L191</f>
        <v>0</v>
      </c>
      <c r="Y192" s="180"/>
    </row>
    <row r="193" spans="1:25" ht="50.1" customHeight="1" x14ac:dyDescent="0.25">
      <c r="A193" s="5">
        <v>178</v>
      </c>
      <c r="B193" s="10">
        <f>'CLIENT ENROLLMENT DISCHARGE '!B192</f>
        <v>0</v>
      </c>
      <c r="C193" s="4">
        <f>'CLIENT ENROLLMENT DISCHARGE '!C192</f>
        <v>0</v>
      </c>
      <c r="D193" s="52"/>
      <c r="E193" s="53"/>
      <c r="F193" s="52"/>
      <c r="G193" s="53"/>
      <c r="H193" s="63"/>
      <c r="I193" s="116"/>
      <c r="J193" s="144"/>
      <c r="K193" s="71"/>
      <c r="L193" s="53"/>
      <c r="M193" s="2"/>
      <c r="N193" s="1"/>
      <c r="O193" s="218">
        <f t="shared" si="4"/>
        <v>0</v>
      </c>
      <c r="P193" s="218">
        <f t="shared" si="5"/>
        <v>0</v>
      </c>
      <c r="Q193" s="60"/>
      <c r="R193" s="52"/>
      <c r="S193" s="66"/>
      <c r="T193" s="65"/>
      <c r="U193" s="68"/>
      <c r="V193" s="59"/>
      <c r="W193" s="6">
        <f>'CLIENT ENROLLMENT DISCHARGE '!M192</f>
        <v>0</v>
      </c>
      <c r="X193" s="76">
        <f>'CLIENT ENROLLMENT DISCHARGE '!L192</f>
        <v>0</v>
      </c>
      <c r="Y193" s="180"/>
    </row>
    <row r="194" spans="1:25" ht="50.1" customHeight="1" x14ac:dyDescent="0.25">
      <c r="A194" s="5">
        <v>179</v>
      </c>
      <c r="B194" s="10">
        <f>'CLIENT ENROLLMENT DISCHARGE '!B193</f>
        <v>0</v>
      </c>
      <c r="C194" s="4">
        <f>'CLIENT ENROLLMENT DISCHARGE '!C193</f>
        <v>0</v>
      </c>
      <c r="D194" s="51"/>
      <c r="E194" s="52"/>
      <c r="F194" s="51"/>
      <c r="G194" s="52"/>
      <c r="H194" s="62"/>
      <c r="I194" s="115"/>
      <c r="J194" s="143"/>
      <c r="K194" s="70"/>
      <c r="L194" s="52"/>
      <c r="M194" s="8"/>
      <c r="N194" s="7"/>
      <c r="O194" s="218">
        <f t="shared" si="4"/>
        <v>0</v>
      </c>
      <c r="P194" s="218">
        <f t="shared" si="5"/>
        <v>0</v>
      </c>
      <c r="Q194" s="59"/>
      <c r="R194" s="51"/>
      <c r="S194" s="65"/>
      <c r="T194" s="64"/>
      <c r="U194" s="67"/>
      <c r="V194" s="74"/>
      <c r="W194" s="6">
        <f>'CLIENT ENROLLMENT DISCHARGE '!M193</f>
        <v>0</v>
      </c>
      <c r="X194" s="76">
        <f>'CLIENT ENROLLMENT DISCHARGE '!L193</f>
        <v>0</v>
      </c>
      <c r="Y194" s="180"/>
    </row>
    <row r="195" spans="1:25" ht="50.1" customHeight="1" x14ac:dyDescent="0.25">
      <c r="A195" s="5">
        <v>180</v>
      </c>
      <c r="B195" s="10">
        <f>'CLIENT ENROLLMENT DISCHARGE '!B194</f>
        <v>0</v>
      </c>
      <c r="C195" s="4">
        <f>'CLIENT ENROLLMENT DISCHARGE '!C194</f>
        <v>0</v>
      </c>
      <c r="D195" s="52"/>
      <c r="E195" s="53"/>
      <c r="F195" s="52"/>
      <c r="G195" s="53"/>
      <c r="H195" s="63"/>
      <c r="I195" s="116"/>
      <c r="J195" s="144"/>
      <c r="K195" s="71"/>
      <c r="L195" s="53"/>
      <c r="M195" s="2"/>
      <c r="N195" s="1"/>
      <c r="O195" s="218">
        <f t="shared" si="4"/>
        <v>0</v>
      </c>
      <c r="P195" s="218">
        <f t="shared" si="5"/>
        <v>0</v>
      </c>
      <c r="Q195" s="60"/>
      <c r="R195" s="52"/>
      <c r="S195" s="66"/>
      <c r="T195" s="65"/>
      <c r="U195" s="68"/>
      <c r="V195" s="59"/>
      <c r="W195" s="6">
        <f>'CLIENT ENROLLMENT DISCHARGE '!M194</f>
        <v>0</v>
      </c>
      <c r="X195" s="76">
        <f>'CLIENT ENROLLMENT DISCHARGE '!L194</f>
        <v>0</v>
      </c>
      <c r="Y195" s="180"/>
    </row>
    <row r="196" spans="1:25" ht="50.1" customHeight="1" x14ac:dyDescent="0.25">
      <c r="A196" s="5">
        <v>181</v>
      </c>
      <c r="B196" s="10">
        <f>'CLIENT ENROLLMENT DISCHARGE '!B195</f>
        <v>0</v>
      </c>
      <c r="C196" s="4">
        <f>'CLIENT ENROLLMENT DISCHARGE '!C195</f>
        <v>0</v>
      </c>
      <c r="D196" s="51"/>
      <c r="E196" s="52"/>
      <c r="F196" s="51"/>
      <c r="G196" s="52"/>
      <c r="H196" s="62"/>
      <c r="I196" s="115"/>
      <c r="J196" s="143"/>
      <c r="K196" s="70"/>
      <c r="L196" s="52"/>
      <c r="M196" s="8"/>
      <c r="N196" s="7"/>
      <c r="O196" s="218">
        <f t="shared" si="4"/>
        <v>0</v>
      </c>
      <c r="P196" s="218">
        <f t="shared" si="5"/>
        <v>0</v>
      </c>
      <c r="Q196" s="59"/>
      <c r="R196" s="51"/>
      <c r="S196" s="65"/>
      <c r="T196" s="64"/>
      <c r="U196" s="67"/>
      <c r="V196" s="74"/>
      <c r="W196" s="6">
        <f>'CLIENT ENROLLMENT DISCHARGE '!M195</f>
        <v>0</v>
      </c>
      <c r="X196" s="76">
        <f>'CLIENT ENROLLMENT DISCHARGE '!L195</f>
        <v>0</v>
      </c>
      <c r="Y196" s="180"/>
    </row>
    <row r="197" spans="1:25" ht="50.1" customHeight="1" x14ac:dyDescent="0.25">
      <c r="A197" s="5">
        <v>182</v>
      </c>
      <c r="B197" s="10">
        <f>'CLIENT ENROLLMENT DISCHARGE '!B196</f>
        <v>0</v>
      </c>
      <c r="C197" s="4">
        <f>'CLIENT ENROLLMENT DISCHARGE '!C196</f>
        <v>0</v>
      </c>
      <c r="D197" s="52"/>
      <c r="E197" s="53"/>
      <c r="F197" s="52"/>
      <c r="G197" s="53"/>
      <c r="H197" s="63"/>
      <c r="I197" s="116"/>
      <c r="J197" s="144"/>
      <c r="K197" s="71"/>
      <c r="L197" s="53"/>
      <c r="M197" s="2"/>
      <c r="N197" s="1"/>
      <c r="O197" s="218">
        <f t="shared" si="4"/>
        <v>0</v>
      </c>
      <c r="P197" s="218">
        <f t="shared" si="5"/>
        <v>0</v>
      </c>
      <c r="Q197" s="60"/>
      <c r="R197" s="52"/>
      <c r="S197" s="66"/>
      <c r="T197" s="65"/>
      <c r="U197" s="68"/>
      <c r="V197" s="59"/>
      <c r="W197" s="6">
        <f>'CLIENT ENROLLMENT DISCHARGE '!M196</f>
        <v>0</v>
      </c>
      <c r="X197" s="76">
        <f>'CLIENT ENROLLMENT DISCHARGE '!L196</f>
        <v>0</v>
      </c>
      <c r="Y197" s="180"/>
    </row>
    <row r="198" spans="1:25" ht="50.1" customHeight="1" x14ac:dyDescent="0.25">
      <c r="A198" s="5">
        <v>183</v>
      </c>
      <c r="B198" s="10">
        <f>'CLIENT ENROLLMENT DISCHARGE '!B197</f>
        <v>0</v>
      </c>
      <c r="C198" s="4">
        <f>'CLIENT ENROLLMENT DISCHARGE '!C197</f>
        <v>0</v>
      </c>
      <c r="D198" s="51"/>
      <c r="E198" s="52"/>
      <c r="F198" s="51"/>
      <c r="G198" s="52"/>
      <c r="H198" s="62"/>
      <c r="I198" s="115"/>
      <c r="J198" s="143"/>
      <c r="K198" s="70"/>
      <c r="L198" s="52"/>
      <c r="M198" s="8"/>
      <c r="N198" s="7"/>
      <c r="O198" s="218">
        <f t="shared" si="4"/>
        <v>0</v>
      </c>
      <c r="P198" s="218">
        <f t="shared" si="5"/>
        <v>0</v>
      </c>
      <c r="Q198" s="59"/>
      <c r="R198" s="51"/>
      <c r="S198" s="65"/>
      <c r="T198" s="64"/>
      <c r="U198" s="67"/>
      <c r="V198" s="74"/>
      <c r="W198" s="6">
        <f>'CLIENT ENROLLMENT DISCHARGE '!M197</f>
        <v>0</v>
      </c>
      <c r="X198" s="76">
        <f>'CLIENT ENROLLMENT DISCHARGE '!L197</f>
        <v>0</v>
      </c>
      <c r="Y198" s="180"/>
    </row>
    <row r="199" spans="1:25" ht="50.1" customHeight="1" x14ac:dyDescent="0.25">
      <c r="A199" s="5">
        <v>184</v>
      </c>
      <c r="B199" s="10">
        <f>'CLIENT ENROLLMENT DISCHARGE '!B198</f>
        <v>0</v>
      </c>
      <c r="C199" s="4">
        <f>'CLIENT ENROLLMENT DISCHARGE '!C198</f>
        <v>0</v>
      </c>
      <c r="D199" s="52"/>
      <c r="E199" s="53"/>
      <c r="F199" s="52"/>
      <c r="G199" s="53"/>
      <c r="H199" s="63"/>
      <c r="I199" s="116"/>
      <c r="J199" s="144"/>
      <c r="K199" s="71"/>
      <c r="L199" s="53"/>
      <c r="M199" s="2"/>
      <c r="N199" s="1"/>
      <c r="O199" s="218">
        <f t="shared" si="4"/>
        <v>0</v>
      </c>
      <c r="P199" s="218">
        <f t="shared" si="5"/>
        <v>0</v>
      </c>
      <c r="Q199" s="60"/>
      <c r="R199" s="52"/>
      <c r="S199" s="66"/>
      <c r="T199" s="65"/>
      <c r="U199" s="68"/>
      <c r="V199" s="59"/>
      <c r="W199" s="6">
        <f>'CLIENT ENROLLMENT DISCHARGE '!M198</f>
        <v>0</v>
      </c>
      <c r="X199" s="76">
        <f>'CLIENT ENROLLMENT DISCHARGE '!L198</f>
        <v>0</v>
      </c>
      <c r="Y199" s="180"/>
    </row>
    <row r="200" spans="1:25" ht="50.1" customHeight="1" x14ac:dyDescent="0.25">
      <c r="A200" s="5">
        <v>185</v>
      </c>
      <c r="B200" s="10">
        <f>'CLIENT ENROLLMENT DISCHARGE '!B199</f>
        <v>0</v>
      </c>
      <c r="C200" s="4">
        <f>'CLIENT ENROLLMENT DISCHARGE '!C199</f>
        <v>0</v>
      </c>
      <c r="D200" s="51"/>
      <c r="E200" s="52"/>
      <c r="F200" s="51"/>
      <c r="G200" s="52"/>
      <c r="H200" s="62"/>
      <c r="I200" s="115"/>
      <c r="J200" s="143"/>
      <c r="K200" s="70"/>
      <c r="L200" s="52"/>
      <c r="M200" s="8"/>
      <c r="N200" s="7"/>
      <c r="O200" s="218">
        <f t="shared" si="4"/>
        <v>0</v>
      </c>
      <c r="P200" s="218">
        <f t="shared" si="5"/>
        <v>0</v>
      </c>
      <c r="Q200" s="59"/>
      <c r="R200" s="51"/>
      <c r="S200" s="65"/>
      <c r="T200" s="64"/>
      <c r="U200" s="67"/>
      <c r="V200" s="74"/>
      <c r="W200" s="6">
        <f>'CLIENT ENROLLMENT DISCHARGE '!M199</f>
        <v>0</v>
      </c>
      <c r="X200" s="76">
        <f>'CLIENT ENROLLMENT DISCHARGE '!L199</f>
        <v>0</v>
      </c>
      <c r="Y200" s="180"/>
    </row>
    <row r="201" spans="1:25" ht="50.1" customHeight="1" x14ac:dyDescent="0.25">
      <c r="A201" s="5">
        <v>186</v>
      </c>
      <c r="B201" s="10">
        <f>'CLIENT ENROLLMENT DISCHARGE '!B200</f>
        <v>0</v>
      </c>
      <c r="C201" s="4">
        <f>'CLIENT ENROLLMENT DISCHARGE '!C200</f>
        <v>0</v>
      </c>
      <c r="D201" s="52"/>
      <c r="E201" s="53"/>
      <c r="F201" s="52"/>
      <c r="G201" s="53"/>
      <c r="H201" s="63"/>
      <c r="I201" s="116"/>
      <c r="J201" s="3"/>
      <c r="K201" s="71"/>
      <c r="L201" s="53"/>
      <c r="M201" s="2"/>
      <c r="N201" s="1"/>
      <c r="O201" s="218">
        <f t="shared" si="4"/>
        <v>0</v>
      </c>
      <c r="P201" s="218">
        <f t="shared" si="5"/>
        <v>0</v>
      </c>
      <c r="Q201" s="60"/>
      <c r="R201" s="52"/>
      <c r="S201" s="66"/>
      <c r="T201" s="65"/>
      <c r="U201" s="68"/>
      <c r="V201" s="75"/>
      <c r="W201" s="6">
        <f>'CLIENT ENROLLMENT DISCHARGE '!M200</f>
        <v>0</v>
      </c>
      <c r="X201" s="76">
        <f>'CLIENT ENROLLMENT DISCHARGE '!L200</f>
        <v>0</v>
      </c>
      <c r="Y201" s="180"/>
    </row>
    <row r="202" spans="1:25" ht="50.1" customHeight="1" x14ac:dyDescent="0.25">
      <c r="A202" s="5">
        <v>187</v>
      </c>
      <c r="B202" s="10">
        <f>'CLIENT ENROLLMENT DISCHARGE '!B201</f>
        <v>0</v>
      </c>
      <c r="C202" s="4">
        <f>'CLIENT ENROLLMENT DISCHARGE '!C201</f>
        <v>0</v>
      </c>
      <c r="D202" s="51"/>
      <c r="E202" s="52"/>
      <c r="F202" s="51"/>
      <c r="G202" s="52"/>
      <c r="H202" s="62"/>
      <c r="I202" s="115"/>
      <c r="J202" s="143"/>
      <c r="K202" s="70"/>
      <c r="L202" s="52"/>
      <c r="M202" s="8"/>
      <c r="N202" s="7"/>
      <c r="O202" s="218">
        <f t="shared" si="4"/>
        <v>0</v>
      </c>
      <c r="P202" s="218">
        <f t="shared" si="5"/>
        <v>0</v>
      </c>
      <c r="Q202" s="59"/>
      <c r="R202" s="51"/>
      <c r="S202" s="65"/>
      <c r="T202" s="64"/>
      <c r="U202" s="67"/>
      <c r="V202" s="74"/>
      <c r="W202" s="6">
        <f>'CLIENT ENROLLMENT DISCHARGE '!M201</f>
        <v>0</v>
      </c>
      <c r="X202" s="76">
        <f>'CLIENT ENROLLMENT DISCHARGE '!L201</f>
        <v>0</v>
      </c>
      <c r="Y202" s="180"/>
    </row>
    <row r="203" spans="1:25" ht="50.1" customHeight="1" x14ac:dyDescent="0.25">
      <c r="A203" s="5">
        <v>188</v>
      </c>
      <c r="B203" s="10">
        <f>'CLIENT ENROLLMENT DISCHARGE '!B202</f>
        <v>0</v>
      </c>
      <c r="C203" s="4">
        <f>'CLIENT ENROLLMENT DISCHARGE '!C202</f>
        <v>0</v>
      </c>
      <c r="D203" s="52"/>
      <c r="E203" s="53"/>
      <c r="F203" s="52"/>
      <c r="G203" s="53"/>
      <c r="H203" s="63"/>
      <c r="I203" s="116"/>
      <c r="J203" s="144"/>
      <c r="K203" s="71"/>
      <c r="L203" s="53"/>
      <c r="M203" s="2"/>
      <c r="N203" s="1"/>
      <c r="O203" s="218">
        <f t="shared" si="4"/>
        <v>0</v>
      </c>
      <c r="P203" s="218">
        <f t="shared" si="5"/>
        <v>0</v>
      </c>
      <c r="Q203" s="60"/>
      <c r="R203" s="52"/>
      <c r="S203" s="66"/>
      <c r="T203" s="65"/>
      <c r="U203" s="68"/>
      <c r="V203" s="59"/>
      <c r="W203" s="6">
        <f>'CLIENT ENROLLMENT DISCHARGE '!M202</f>
        <v>0</v>
      </c>
      <c r="X203" s="76">
        <f>'CLIENT ENROLLMENT DISCHARGE '!L202</f>
        <v>0</v>
      </c>
      <c r="Y203" s="180"/>
    </row>
    <row r="204" spans="1:25" ht="50.1" customHeight="1" x14ac:dyDescent="0.25">
      <c r="A204" s="5">
        <v>189</v>
      </c>
      <c r="B204" s="10">
        <f>'CLIENT ENROLLMENT DISCHARGE '!B203</f>
        <v>0</v>
      </c>
      <c r="C204" s="4">
        <f>'CLIENT ENROLLMENT DISCHARGE '!C203</f>
        <v>0</v>
      </c>
      <c r="D204" s="51"/>
      <c r="E204" s="52"/>
      <c r="F204" s="51"/>
      <c r="G204" s="52"/>
      <c r="H204" s="62"/>
      <c r="I204" s="115"/>
      <c r="J204" s="143"/>
      <c r="K204" s="70"/>
      <c r="L204" s="52"/>
      <c r="M204" s="8"/>
      <c r="N204" s="7"/>
      <c r="O204" s="218">
        <f t="shared" si="4"/>
        <v>0</v>
      </c>
      <c r="P204" s="218">
        <f t="shared" si="5"/>
        <v>0</v>
      </c>
      <c r="Q204" s="59"/>
      <c r="R204" s="51"/>
      <c r="S204" s="65"/>
      <c r="T204" s="64"/>
      <c r="U204" s="67"/>
      <c r="V204" s="74"/>
      <c r="W204" s="6">
        <f>'CLIENT ENROLLMENT DISCHARGE '!M203</f>
        <v>0</v>
      </c>
      <c r="X204" s="76">
        <f>'CLIENT ENROLLMENT DISCHARGE '!L203</f>
        <v>0</v>
      </c>
      <c r="Y204" s="180"/>
    </row>
    <row r="205" spans="1:25" ht="50.1" customHeight="1" x14ac:dyDescent="0.25">
      <c r="A205" s="5">
        <v>190</v>
      </c>
      <c r="B205" s="10">
        <f>'CLIENT ENROLLMENT DISCHARGE '!B204</f>
        <v>0</v>
      </c>
      <c r="C205" s="4">
        <f>'CLIENT ENROLLMENT DISCHARGE '!C204</f>
        <v>0</v>
      </c>
      <c r="D205" s="52"/>
      <c r="E205" s="53"/>
      <c r="F205" s="52"/>
      <c r="G205" s="53"/>
      <c r="H205" s="63"/>
      <c r="I205" s="116"/>
      <c r="J205" s="144"/>
      <c r="K205" s="71"/>
      <c r="L205" s="53"/>
      <c r="M205" s="2"/>
      <c r="N205" s="1"/>
      <c r="O205" s="218">
        <f t="shared" si="4"/>
        <v>0</v>
      </c>
      <c r="P205" s="218">
        <f t="shared" si="5"/>
        <v>0</v>
      </c>
      <c r="Q205" s="60"/>
      <c r="R205" s="52"/>
      <c r="S205" s="66"/>
      <c r="T205" s="65"/>
      <c r="U205" s="68"/>
      <c r="V205" s="59"/>
      <c r="W205" s="6">
        <f>'CLIENT ENROLLMENT DISCHARGE '!M204</f>
        <v>0</v>
      </c>
      <c r="X205" s="76">
        <f>'CLIENT ENROLLMENT DISCHARGE '!L204</f>
        <v>0</v>
      </c>
      <c r="Y205" s="180"/>
    </row>
    <row r="206" spans="1:25" ht="50.1" customHeight="1" x14ac:dyDescent="0.25">
      <c r="A206" s="5">
        <v>191</v>
      </c>
      <c r="B206" s="10">
        <f>'CLIENT ENROLLMENT DISCHARGE '!B205</f>
        <v>0</v>
      </c>
      <c r="C206" s="4">
        <f>'CLIENT ENROLLMENT DISCHARGE '!C205</f>
        <v>0</v>
      </c>
      <c r="D206" s="51"/>
      <c r="E206" s="52"/>
      <c r="F206" s="51"/>
      <c r="G206" s="52"/>
      <c r="H206" s="62"/>
      <c r="I206" s="115"/>
      <c r="J206" s="143"/>
      <c r="K206" s="70"/>
      <c r="L206" s="52"/>
      <c r="M206" s="8"/>
      <c r="N206" s="7"/>
      <c r="O206" s="218">
        <f t="shared" si="4"/>
        <v>0</v>
      </c>
      <c r="P206" s="218">
        <f t="shared" si="5"/>
        <v>0</v>
      </c>
      <c r="Q206" s="59"/>
      <c r="R206" s="51"/>
      <c r="S206" s="65"/>
      <c r="T206" s="64"/>
      <c r="U206" s="67"/>
      <c r="V206" s="74"/>
      <c r="W206" s="6">
        <f>'CLIENT ENROLLMENT DISCHARGE '!M205</f>
        <v>0</v>
      </c>
      <c r="X206" s="76">
        <f>'CLIENT ENROLLMENT DISCHARGE '!L205</f>
        <v>0</v>
      </c>
      <c r="Y206" s="180"/>
    </row>
    <row r="207" spans="1:25" ht="50.1" customHeight="1" x14ac:dyDescent="0.25">
      <c r="A207" s="5">
        <v>192</v>
      </c>
      <c r="B207" s="10">
        <f>'CLIENT ENROLLMENT DISCHARGE '!B206</f>
        <v>0</v>
      </c>
      <c r="C207" s="4">
        <f>'CLIENT ENROLLMENT DISCHARGE '!C206</f>
        <v>0</v>
      </c>
      <c r="D207" s="52"/>
      <c r="E207" s="53"/>
      <c r="F207" s="52"/>
      <c r="G207" s="53"/>
      <c r="H207" s="63"/>
      <c r="I207" s="116"/>
      <c r="J207" s="144"/>
      <c r="K207" s="71"/>
      <c r="L207" s="53"/>
      <c r="M207" s="2"/>
      <c r="N207" s="1"/>
      <c r="O207" s="218">
        <f t="shared" si="4"/>
        <v>0</v>
      </c>
      <c r="P207" s="218">
        <f t="shared" si="5"/>
        <v>0</v>
      </c>
      <c r="Q207" s="60"/>
      <c r="R207" s="52"/>
      <c r="S207" s="66"/>
      <c r="T207" s="65"/>
      <c r="U207" s="68"/>
      <c r="V207" s="59"/>
      <c r="W207" s="6">
        <f>'CLIENT ENROLLMENT DISCHARGE '!M206</f>
        <v>0</v>
      </c>
      <c r="X207" s="76">
        <f>'CLIENT ENROLLMENT DISCHARGE '!L206</f>
        <v>0</v>
      </c>
      <c r="Y207" s="180"/>
    </row>
    <row r="208" spans="1:25" ht="50.1" customHeight="1" x14ac:dyDescent="0.25">
      <c r="A208" s="5">
        <v>193</v>
      </c>
      <c r="B208" s="10">
        <f>'CLIENT ENROLLMENT DISCHARGE '!B207</f>
        <v>0</v>
      </c>
      <c r="C208" s="4">
        <f>'CLIENT ENROLLMENT DISCHARGE '!C207</f>
        <v>0</v>
      </c>
      <c r="D208" s="51"/>
      <c r="E208" s="52"/>
      <c r="F208" s="51"/>
      <c r="G208" s="52"/>
      <c r="H208" s="62"/>
      <c r="I208" s="115"/>
      <c r="J208" s="143"/>
      <c r="K208" s="70"/>
      <c r="L208" s="52"/>
      <c r="M208" s="8"/>
      <c r="N208" s="7"/>
      <c r="O208" s="218">
        <f t="shared" si="4"/>
        <v>0</v>
      </c>
      <c r="P208" s="218">
        <f t="shared" si="5"/>
        <v>0</v>
      </c>
      <c r="Q208" s="59"/>
      <c r="R208" s="51"/>
      <c r="S208" s="65"/>
      <c r="T208" s="64"/>
      <c r="U208" s="67"/>
      <c r="V208" s="74"/>
      <c r="W208" s="6">
        <f>'CLIENT ENROLLMENT DISCHARGE '!M207</f>
        <v>0</v>
      </c>
      <c r="X208" s="76">
        <f>'CLIENT ENROLLMENT DISCHARGE '!L207</f>
        <v>0</v>
      </c>
      <c r="Y208" s="180"/>
    </row>
    <row r="209" spans="1:25" ht="50.1" customHeight="1" x14ac:dyDescent="0.25">
      <c r="A209" s="5">
        <v>194</v>
      </c>
      <c r="B209" s="10">
        <f>'CLIENT ENROLLMENT DISCHARGE '!B208</f>
        <v>0</v>
      </c>
      <c r="C209" s="4">
        <f>'CLIENT ENROLLMENT DISCHARGE '!C208</f>
        <v>0</v>
      </c>
      <c r="D209" s="52"/>
      <c r="E209" s="53"/>
      <c r="F209" s="52"/>
      <c r="G209" s="53"/>
      <c r="H209" s="63"/>
      <c r="I209" s="116"/>
      <c r="J209" s="144"/>
      <c r="K209" s="71"/>
      <c r="L209" s="53"/>
      <c r="M209" s="2"/>
      <c r="N209" s="1"/>
      <c r="O209" s="218">
        <f t="shared" ref="O209:O272" si="6">K209*N209</f>
        <v>0</v>
      </c>
      <c r="P209" s="218">
        <f t="shared" ref="P209:P272" si="7">O209</f>
        <v>0</v>
      </c>
      <c r="Q209" s="60"/>
      <c r="R209" s="52"/>
      <c r="S209" s="66"/>
      <c r="T209" s="65"/>
      <c r="U209" s="68"/>
      <c r="V209" s="59"/>
      <c r="W209" s="6">
        <f>'CLIENT ENROLLMENT DISCHARGE '!M208</f>
        <v>0</v>
      </c>
      <c r="X209" s="76">
        <f>'CLIENT ENROLLMENT DISCHARGE '!L208</f>
        <v>0</v>
      </c>
      <c r="Y209" s="180"/>
    </row>
    <row r="210" spans="1:25" ht="50.1" customHeight="1" x14ac:dyDescent="0.25">
      <c r="A210" s="5">
        <v>195</v>
      </c>
      <c r="B210" s="10">
        <f>'CLIENT ENROLLMENT DISCHARGE '!B209</f>
        <v>0</v>
      </c>
      <c r="C210" s="4">
        <f>'CLIENT ENROLLMENT DISCHARGE '!C209</f>
        <v>0</v>
      </c>
      <c r="D210" s="51"/>
      <c r="E210" s="52"/>
      <c r="F210" s="51"/>
      <c r="G210" s="52"/>
      <c r="H210" s="62"/>
      <c r="I210" s="115"/>
      <c r="J210" s="143"/>
      <c r="K210" s="70"/>
      <c r="L210" s="52"/>
      <c r="M210" s="8"/>
      <c r="N210" s="7"/>
      <c r="O210" s="218">
        <f t="shared" si="6"/>
        <v>0</v>
      </c>
      <c r="P210" s="218">
        <f t="shared" si="7"/>
        <v>0</v>
      </c>
      <c r="Q210" s="59"/>
      <c r="R210" s="51"/>
      <c r="S210" s="65"/>
      <c r="T210" s="64"/>
      <c r="U210" s="67"/>
      <c r="V210" s="74"/>
      <c r="W210" s="6">
        <f>'CLIENT ENROLLMENT DISCHARGE '!M209</f>
        <v>0</v>
      </c>
      <c r="X210" s="76">
        <f>'CLIENT ENROLLMENT DISCHARGE '!L209</f>
        <v>0</v>
      </c>
      <c r="Y210" s="180"/>
    </row>
    <row r="211" spans="1:25" ht="50.1" customHeight="1" x14ac:dyDescent="0.25">
      <c r="A211" s="5">
        <v>196</v>
      </c>
      <c r="B211" s="10">
        <f>'CLIENT ENROLLMENT DISCHARGE '!B210</f>
        <v>0</v>
      </c>
      <c r="C211" s="4">
        <f>'CLIENT ENROLLMENT DISCHARGE '!C210</f>
        <v>0</v>
      </c>
      <c r="D211" s="52"/>
      <c r="E211" s="53"/>
      <c r="F211" s="52"/>
      <c r="G211" s="53"/>
      <c r="H211" s="63"/>
      <c r="I211" s="116"/>
      <c r="J211" s="144"/>
      <c r="K211" s="71"/>
      <c r="L211" s="53"/>
      <c r="M211" s="2"/>
      <c r="N211" s="1"/>
      <c r="O211" s="218">
        <f t="shared" si="6"/>
        <v>0</v>
      </c>
      <c r="P211" s="218">
        <f t="shared" si="7"/>
        <v>0</v>
      </c>
      <c r="Q211" s="60"/>
      <c r="R211" s="52"/>
      <c r="S211" s="66"/>
      <c r="T211" s="65"/>
      <c r="U211" s="68"/>
      <c r="V211" s="75"/>
      <c r="W211" s="6">
        <f>'CLIENT ENROLLMENT DISCHARGE '!M210</f>
        <v>0</v>
      </c>
      <c r="X211" s="76">
        <f>'CLIENT ENROLLMENT DISCHARGE '!L210</f>
        <v>0</v>
      </c>
      <c r="Y211" s="180"/>
    </row>
    <row r="212" spans="1:25" ht="50.1" customHeight="1" x14ac:dyDescent="0.25">
      <c r="A212" s="5">
        <v>197</v>
      </c>
      <c r="B212" s="10">
        <f>'CLIENT ENROLLMENT DISCHARGE '!B211</f>
        <v>0</v>
      </c>
      <c r="C212" s="4">
        <f>'CLIENT ENROLLMENT DISCHARGE '!C211</f>
        <v>0</v>
      </c>
      <c r="D212" s="51"/>
      <c r="E212" s="52"/>
      <c r="F212" s="51"/>
      <c r="G212" s="52"/>
      <c r="H212" s="62"/>
      <c r="I212" s="115"/>
      <c r="J212" s="143"/>
      <c r="K212" s="70"/>
      <c r="L212" s="52"/>
      <c r="M212" s="8"/>
      <c r="N212" s="7"/>
      <c r="O212" s="218">
        <f t="shared" si="6"/>
        <v>0</v>
      </c>
      <c r="P212" s="218">
        <f t="shared" si="7"/>
        <v>0</v>
      </c>
      <c r="Q212" s="59"/>
      <c r="R212" s="51"/>
      <c r="S212" s="65"/>
      <c r="T212" s="64"/>
      <c r="U212" s="67"/>
      <c r="V212" s="74"/>
      <c r="W212" s="6">
        <f>'CLIENT ENROLLMENT DISCHARGE '!M211</f>
        <v>0</v>
      </c>
      <c r="X212" s="76">
        <f>'CLIENT ENROLLMENT DISCHARGE '!L211</f>
        <v>0</v>
      </c>
      <c r="Y212" s="180"/>
    </row>
    <row r="213" spans="1:25" ht="50.1" customHeight="1" x14ac:dyDescent="0.25">
      <c r="A213" s="5">
        <v>198</v>
      </c>
      <c r="B213" s="10">
        <f>'CLIENT ENROLLMENT DISCHARGE '!B212</f>
        <v>0</v>
      </c>
      <c r="C213" s="4">
        <f>'CLIENT ENROLLMENT DISCHARGE '!C212</f>
        <v>0</v>
      </c>
      <c r="D213" s="52"/>
      <c r="E213" s="53"/>
      <c r="F213" s="52"/>
      <c r="G213" s="53"/>
      <c r="H213" s="63"/>
      <c r="I213" s="116"/>
      <c r="J213" s="144"/>
      <c r="K213" s="71"/>
      <c r="L213" s="53"/>
      <c r="M213" s="2"/>
      <c r="N213" s="1"/>
      <c r="O213" s="218">
        <f t="shared" si="6"/>
        <v>0</v>
      </c>
      <c r="P213" s="218">
        <f t="shared" si="7"/>
        <v>0</v>
      </c>
      <c r="Q213" s="60"/>
      <c r="R213" s="52"/>
      <c r="S213" s="66"/>
      <c r="T213" s="65"/>
      <c r="U213" s="68"/>
      <c r="V213" s="59"/>
      <c r="W213" s="6">
        <f>'CLIENT ENROLLMENT DISCHARGE '!M212</f>
        <v>0</v>
      </c>
      <c r="X213" s="76">
        <f>'CLIENT ENROLLMENT DISCHARGE '!L212</f>
        <v>0</v>
      </c>
      <c r="Y213" s="180"/>
    </row>
    <row r="214" spans="1:25" ht="50.1" customHeight="1" x14ac:dyDescent="0.25">
      <c r="A214" s="5">
        <v>199</v>
      </c>
      <c r="B214" s="10">
        <f>'CLIENT ENROLLMENT DISCHARGE '!B213</f>
        <v>0</v>
      </c>
      <c r="C214" s="4">
        <f>'CLIENT ENROLLMENT DISCHARGE '!C213</f>
        <v>0</v>
      </c>
      <c r="D214" s="51"/>
      <c r="E214" s="52"/>
      <c r="F214" s="51"/>
      <c r="G214" s="52"/>
      <c r="H214" s="62"/>
      <c r="I214" s="115"/>
      <c r="J214" s="143"/>
      <c r="K214" s="70"/>
      <c r="L214" s="52"/>
      <c r="M214" s="8"/>
      <c r="N214" s="7"/>
      <c r="O214" s="218">
        <f t="shared" si="6"/>
        <v>0</v>
      </c>
      <c r="P214" s="218">
        <f t="shared" si="7"/>
        <v>0</v>
      </c>
      <c r="Q214" s="59"/>
      <c r="R214" s="51"/>
      <c r="S214" s="65"/>
      <c r="T214" s="64"/>
      <c r="U214" s="67"/>
      <c r="V214" s="74"/>
      <c r="W214" s="6">
        <f>'CLIENT ENROLLMENT DISCHARGE '!M213</f>
        <v>0</v>
      </c>
      <c r="X214" s="76">
        <f>'CLIENT ENROLLMENT DISCHARGE '!L213</f>
        <v>0</v>
      </c>
      <c r="Y214" s="180"/>
    </row>
    <row r="215" spans="1:25" ht="50.1" customHeight="1" x14ac:dyDescent="0.25">
      <c r="A215" s="5">
        <v>200</v>
      </c>
      <c r="B215" s="10">
        <f>'CLIENT ENROLLMENT DISCHARGE '!B214</f>
        <v>0</v>
      </c>
      <c r="C215" s="4">
        <f>'CLIENT ENROLLMENT DISCHARGE '!C214</f>
        <v>0</v>
      </c>
      <c r="D215" s="52"/>
      <c r="E215" s="53"/>
      <c r="F215" s="52"/>
      <c r="G215" s="53"/>
      <c r="H215" s="63"/>
      <c r="I215" s="116"/>
      <c r="J215" s="144"/>
      <c r="K215" s="71"/>
      <c r="L215" s="53"/>
      <c r="M215" s="2"/>
      <c r="N215" s="1"/>
      <c r="O215" s="218">
        <f t="shared" si="6"/>
        <v>0</v>
      </c>
      <c r="P215" s="218">
        <f t="shared" si="7"/>
        <v>0</v>
      </c>
      <c r="Q215" s="60"/>
      <c r="R215" s="52"/>
      <c r="S215" s="66"/>
      <c r="T215" s="65"/>
      <c r="U215" s="68"/>
      <c r="V215" s="59"/>
      <c r="W215" s="6">
        <f>'CLIENT ENROLLMENT DISCHARGE '!M214</f>
        <v>0</v>
      </c>
      <c r="X215" s="76">
        <f>'CLIENT ENROLLMENT DISCHARGE '!L214</f>
        <v>0</v>
      </c>
      <c r="Y215" s="180"/>
    </row>
    <row r="216" spans="1:25" ht="50.1" customHeight="1" x14ac:dyDescent="0.25">
      <c r="A216" s="5">
        <v>201</v>
      </c>
      <c r="B216" s="10">
        <f>'CLIENT ENROLLMENT DISCHARGE '!B215</f>
        <v>0</v>
      </c>
      <c r="C216" s="4">
        <f>'CLIENT ENROLLMENT DISCHARGE '!C215</f>
        <v>0</v>
      </c>
      <c r="D216" s="51"/>
      <c r="E216" s="52"/>
      <c r="F216" s="51"/>
      <c r="G216" s="52"/>
      <c r="H216" s="62"/>
      <c r="I216" s="115"/>
      <c r="J216" s="143"/>
      <c r="K216" s="70"/>
      <c r="L216" s="52"/>
      <c r="M216" s="8"/>
      <c r="N216" s="7"/>
      <c r="O216" s="218">
        <f t="shared" si="6"/>
        <v>0</v>
      </c>
      <c r="P216" s="218">
        <f t="shared" si="7"/>
        <v>0</v>
      </c>
      <c r="Q216" s="59"/>
      <c r="R216" s="51"/>
      <c r="S216" s="65"/>
      <c r="T216" s="64"/>
      <c r="U216" s="67"/>
      <c r="V216" s="74"/>
      <c r="W216" s="6">
        <f>'CLIENT ENROLLMENT DISCHARGE '!M215</f>
        <v>0</v>
      </c>
      <c r="X216" s="76">
        <f>'CLIENT ENROLLMENT DISCHARGE '!L215</f>
        <v>0</v>
      </c>
      <c r="Y216" s="180"/>
    </row>
    <row r="217" spans="1:25" ht="50.1" customHeight="1" x14ac:dyDescent="0.25">
      <c r="A217" s="5">
        <v>202</v>
      </c>
      <c r="B217" s="10">
        <f>'CLIENT ENROLLMENT DISCHARGE '!B216</f>
        <v>0</v>
      </c>
      <c r="C217" s="4">
        <f>'CLIENT ENROLLMENT DISCHARGE '!C216</f>
        <v>0</v>
      </c>
      <c r="D217" s="52"/>
      <c r="E217" s="53"/>
      <c r="F217" s="52"/>
      <c r="G217" s="53"/>
      <c r="H217" s="63"/>
      <c r="I217" s="116"/>
      <c r="J217" s="144"/>
      <c r="K217" s="71"/>
      <c r="L217" s="53"/>
      <c r="M217" s="2"/>
      <c r="N217" s="1"/>
      <c r="O217" s="218">
        <f t="shared" si="6"/>
        <v>0</v>
      </c>
      <c r="P217" s="218">
        <f t="shared" si="7"/>
        <v>0</v>
      </c>
      <c r="Q217" s="60"/>
      <c r="R217" s="52"/>
      <c r="S217" s="66"/>
      <c r="T217" s="65"/>
      <c r="U217" s="68"/>
      <c r="V217" s="59"/>
      <c r="W217" s="6">
        <f>'CLIENT ENROLLMENT DISCHARGE '!M216</f>
        <v>0</v>
      </c>
      <c r="X217" s="76">
        <f>'CLIENT ENROLLMENT DISCHARGE '!L216</f>
        <v>0</v>
      </c>
      <c r="Y217" s="180"/>
    </row>
    <row r="218" spans="1:25" ht="50.1" customHeight="1" x14ac:dyDescent="0.25">
      <c r="A218" s="5">
        <v>203</v>
      </c>
      <c r="B218" s="10">
        <f>'CLIENT ENROLLMENT DISCHARGE '!B217</f>
        <v>0</v>
      </c>
      <c r="C218" s="4">
        <f>'CLIENT ENROLLMENT DISCHARGE '!C217</f>
        <v>0</v>
      </c>
      <c r="D218" s="51"/>
      <c r="E218" s="52"/>
      <c r="F218" s="51"/>
      <c r="G218" s="52"/>
      <c r="H218" s="62"/>
      <c r="I218" s="115"/>
      <c r="J218" s="143"/>
      <c r="K218" s="70"/>
      <c r="L218" s="52"/>
      <c r="M218" s="8"/>
      <c r="N218" s="7"/>
      <c r="O218" s="218">
        <f t="shared" si="6"/>
        <v>0</v>
      </c>
      <c r="P218" s="218">
        <f t="shared" si="7"/>
        <v>0</v>
      </c>
      <c r="Q218" s="59"/>
      <c r="R218" s="51"/>
      <c r="S218" s="65"/>
      <c r="T218" s="64"/>
      <c r="U218" s="67"/>
      <c r="V218" s="74"/>
      <c r="W218" s="6">
        <f>'CLIENT ENROLLMENT DISCHARGE '!M217</f>
        <v>0</v>
      </c>
      <c r="X218" s="76">
        <f>'CLIENT ENROLLMENT DISCHARGE '!L217</f>
        <v>0</v>
      </c>
      <c r="Y218" s="180"/>
    </row>
    <row r="219" spans="1:25" ht="50.1" customHeight="1" x14ac:dyDescent="0.25">
      <c r="A219" s="5">
        <v>204</v>
      </c>
      <c r="B219" s="10">
        <f>'CLIENT ENROLLMENT DISCHARGE '!B218</f>
        <v>0</v>
      </c>
      <c r="C219" s="4">
        <f>'CLIENT ENROLLMENT DISCHARGE '!C218</f>
        <v>0</v>
      </c>
      <c r="D219" s="52"/>
      <c r="E219" s="53"/>
      <c r="F219" s="52"/>
      <c r="G219" s="53"/>
      <c r="H219" s="63"/>
      <c r="I219" s="116"/>
      <c r="J219" s="144"/>
      <c r="K219" s="71"/>
      <c r="L219" s="53"/>
      <c r="M219" s="2"/>
      <c r="N219" s="1"/>
      <c r="O219" s="218">
        <f t="shared" si="6"/>
        <v>0</v>
      </c>
      <c r="P219" s="218">
        <f t="shared" si="7"/>
        <v>0</v>
      </c>
      <c r="Q219" s="60"/>
      <c r="R219" s="52"/>
      <c r="S219" s="66"/>
      <c r="T219" s="65"/>
      <c r="U219" s="68"/>
      <c r="V219" s="59"/>
      <c r="W219" s="6">
        <f>'CLIENT ENROLLMENT DISCHARGE '!M218</f>
        <v>0</v>
      </c>
      <c r="X219" s="76">
        <f>'CLIENT ENROLLMENT DISCHARGE '!L218</f>
        <v>0</v>
      </c>
      <c r="Y219" s="180"/>
    </row>
    <row r="220" spans="1:25" ht="50.1" customHeight="1" x14ac:dyDescent="0.25">
      <c r="A220" s="5">
        <v>205</v>
      </c>
      <c r="B220" s="10">
        <f>'CLIENT ENROLLMENT DISCHARGE '!B219</f>
        <v>0</v>
      </c>
      <c r="C220" s="4">
        <f>'CLIENT ENROLLMENT DISCHARGE '!C219</f>
        <v>0</v>
      </c>
      <c r="D220" s="51"/>
      <c r="E220" s="52"/>
      <c r="F220" s="51"/>
      <c r="G220" s="52"/>
      <c r="H220" s="62"/>
      <c r="I220" s="115"/>
      <c r="J220" s="143"/>
      <c r="K220" s="70"/>
      <c r="L220" s="52"/>
      <c r="M220" s="8"/>
      <c r="N220" s="7"/>
      <c r="O220" s="218">
        <f t="shared" si="6"/>
        <v>0</v>
      </c>
      <c r="P220" s="218">
        <f t="shared" si="7"/>
        <v>0</v>
      </c>
      <c r="Q220" s="59"/>
      <c r="R220" s="51"/>
      <c r="S220" s="65"/>
      <c r="T220" s="64"/>
      <c r="U220" s="67"/>
      <c r="V220" s="74"/>
      <c r="W220" s="6">
        <f>'CLIENT ENROLLMENT DISCHARGE '!M219</f>
        <v>0</v>
      </c>
      <c r="X220" s="76">
        <f>'CLIENT ENROLLMENT DISCHARGE '!L219</f>
        <v>0</v>
      </c>
      <c r="Y220" s="180"/>
    </row>
    <row r="221" spans="1:25" ht="50.1" customHeight="1" x14ac:dyDescent="0.25">
      <c r="A221" s="5">
        <v>206</v>
      </c>
      <c r="B221" s="10">
        <f>'CLIENT ENROLLMENT DISCHARGE '!B220</f>
        <v>0</v>
      </c>
      <c r="C221" s="4">
        <f>'CLIENT ENROLLMENT DISCHARGE '!C220</f>
        <v>0</v>
      </c>
      <c r="D221" s="52"/>
      <c r="E221" s="53"/>
      <c r="F221" s="52"/>
      <c r="G221" s="53"/>
      <c r="H221" s="63"/>
      <c r="I221" s="116"/>
      <c r="J221" s="3"/>
      <c r="K221" s="71"/>
      <c r="L221" s="53"/>
      <c r="M221" s="2"/>
      <c r="N221" s="1"/>
      <c r="O221" s="218">
        <f t="shared" si="6"/>
        <v>0</v>
      </c>
      <c r="P221" s="218">
        <f t="shared" si="7"/>
        <v>0</v>
      </c>
      <c r="Q221" s="60"/>
      <c r="R221" s="52"/>
      <c r="S221" s="66"/>
      <c r="T221" s="65"/>
      <c r="U221" s="68"/>
      <c r="V221" s="75"/>
      <c r="W221" s="6">
        <f>'CLIENT ENROLLMENT DISCHARGE '!M220</f>
        <v>0</v>
      </c>
      <c r="X221" s="76">
        <f>'CLIENT ENROLLMENT DISCHARGE '!L220</f>
        <v>0</v>
      </c>
      <c r="Y221" s="180"/>
    </row>
    <row r="222" spans="1:25" ht="50.1" customHeight="1" x14ac:dyDescent="0.25">
      <c r="A222" s="5">
        <v>207</v>
      </c>
      <c r="B222" s="10">
        <f>'CLIENT ENROLLMENT DISCHARGE '!B221</f>
        <v>0</v>
      </c>
      <c r="C222" s="4">
        <f>'CLIENT ENROLLMENT DISCHARGE '!C221</f>
        <v>0</v>
      </c>
      <c r="D222" s="51"/>
      <c r="E222" s="52"/>
      <c r="F222" s="51"/>
      <c r="G222" s="52"/>
      <c r="H222" s="62"/>
      <c r="I222" s="115"/>
      <c r="J222" s="143"/>
      <c r="K222" s="70"/>
      <c r="L222" s="52"/>
      <c r="M222" s="8"/>
      <c r="N222" s="7"/>
      <c r="O222" s="218">
        <f t="shared" si="6"/>
        <v>0</v>
      </c>
      <c r="P222" s="218">
        <f t="shared" si="7"/>
        <v>0</v>
      </c>
      <c r="Q222" s="59"/>
      <c r="R222" s="51"/>
      <c r="S222" s="65"/>
      <c r="T222" s="64"/>
      <c r="U222" s="67"/>
      <c r="V222" s="74"/>
      <c r="W222" s="6">
        <f>'CLIENT ENROLLMENT DISCHARGE '!M221</f>
        <v>0</v>
      </c>
      <c r="X222" s="76">
        <f>'CLIENT ENROLLMENT DISCHARGE '!L221</f>
        <v>0</v>
      </c>
      <c r="Y222" s="180"/>
    </row>
    <row r="223" spans="1:25" ht="50.1" customHeight="1" x14ac:dyDescent="0.25">
      <c r="A223" s="5">
        <v>208</v>
      </c>
      <c r="B223" s="10">
        <f>'CLIENT ENROLLMENT DISCHARGE '!B222</f>
        <v>0</v>
      </c>
      <c r="C223" s="4">
        <f>'CLIENT ENROLLMENT DISCHARGE '!C222</f>
        <v>0</v>
      </c>
      <c r="D223" s="52"/>
      <c r="E223" s="53"/>
      <c r="F223" s="52"/>
      <c r="G223" s="53"/>
      <c r="H223" s="63"/>
      <c r="I223" s="116"/>
      <c r="J223" s="144"/>
      <c r="K223" s="71"/>
      <c r="L223" s="53"/>
      <c r="M223" s="2"/>
      <c r="N223" s="1"/>
      <c r="O223" s="218">
        <f t="shared" si="6"/>
        <v>0</v>
      </c>
      <c r="P223" s="218">
        <f t="shared" si="7"/>
        <v>0</v>
      </c>
      <c r="Q223" s="60"/>
      <c r="R223" s="52"/>
      <c r="S223" s="66"/>
      <c r="T223" s="65"/>
      <c r="U223" s="68"/>
      <c r="V223" s="59"/>
      <c r="W223" s="6">
        <f>'CLIENT ENROLLMENT DISCHARGE '!M222</f>
        <v>0</v>
      </c>
      <c r="X223" s="76">
        <f>'CLIENT ENROLLMENT DISCHARGE '!L222</f>
        <v>0</v>
      </c>
      <c r="Y223" s="180"/>
    </row>
    <row r="224" spans="1:25" ht="50.1" customHeight="1" x14ac:dyDescent="0.25">
      <c r="A224" s="5">
        <v>209</v>
      </c>
      <c r="B224" s="10">
        <f>'CLIENT ENROLLMENT DISCHARGE '!B223</f>
        <v>0</v>
      </c>
      <c r="C224" s="4">
        <f>'CLIENT ENROLLMENT DISCHARGE '!C223</f>
        <v>0</v>
      </c>
      <c r="D224" s="51"/>
      <c r="E224" s="52"/>
      <c r="F224" s="51"/>
      <c r="G224" s="52"/>
      <c r="H224" s="62"/>
      <c r="I224" s="115"/>
      <c r="J224" s="143"/>
      <c r="K224" s="70"/>
      <c r="L224" s="52"/>
      <c r="M224" s="8"/>
      <c r="N224" s="7"/>
      <c r="O224" s="218">
        <f t="shared" si="6"/>
        <v>0</v>
      </c>
      <c r="P224" s="218">
        <f t="shared" si="7"/>
        <v>0</v>
      </c>
      <c r="Q224" s="59"/>
      <c r="R224" s="51"/>
      <c r="S224" s="65"/>
      <c r="T224" s="64"/>
      <c r="U224" s="67"/>
      <c r="V224" s="74"/>
      <c r="W224" s="6">
        <f>'CLIENT ENROLLMENT DISCHARGE '!M223</f>
        <v>0</v>
      </c>
      <c r="X224" s="76">
        <f>'CLIENT ENROLLMENT DISCHARGE '!L223</f>
        <v>0</v>
      </c>
      <c r="Y224" s="180"/>
    </row>
    <row r="225" spans="1:25" ht="50.1" customHeight="1" x14ac:dyDescent="0.25">
      <c r="A225" s="5">
        <v>210</v>
      </c>
      <c r="B225" s="10">
        <f>'CLIENT ENROLLMENT DISCHARGE '!B224</f>
        <v>0</v>
      </c>
      <c r="C225" s="4">
        <f>'CLIENT ENROLLMENT DISCHARGE '!C224</f>
        <v>0</v>
      </c>
      <c r="D225" s="52"/>
      <c r="E225" s="53"/>
      <c r="F225" s="52"/>
      <c r="G225" s="53"/>
      <c r="H225" s="63"/>
      <c r="I225" s="116"/>
      <c r="J225" s="144"/>
      <c r="K225" s="71"/>
      <c r="L225" s="53"/>
      <c r="M225" s="2"/>
      <c r="N225" s="1"/>
      <c r="O225" s="218">
        <f t="shared" si="6"/>
        <v>0</v>
      </c>
      <c r="P225" s="218">
        <f t="shared" si="7"/>
        <v>0</v>
      </c>
      <c r="Q225" s="60"/>
      <c r="R225" s="52"/>
      <c r="S225" s="66"/>
      <c r="T225" s="65"/>
      <c r="U225" s="68"/>
      <c r="V225" s="59"/>
      <c r="W225" s="6">
        <f>'CLIENT ENROLLMENT DISCHARGE '!M224</f>
        <v>0</v>
      </c>
      <c r="X225" s="76">
        <f>'CLIENT ENROLLMENT DISCHARGE '!L224</f>
        <v>0</v>
      </c>
      <c r="Y225" s="180"/>
    </row>
    <row r="226" spans="1:25" ht="50.1" customHeight="1" x14ac:dyDescent="0.25">
      <c r="A226" s="5">
        <v>211</v>
      </c>
      <c r="B226" s="10">
        <f>'CLIENT ENROLLMENT DISCHARGE '!B225</f>
        <v>0</v>
      </c>
      <c r="C226" s="4">
        <f>'CLIENT ENROLLMENT DISCHARGE '!C225</f>
        <v>0</v>
      </c>
      <c r="D226" s="51"/>
      <c r="E226" s="52"/>
      <c r="F226" s="51"/>
      <c r="G226" s="52"/>
      <c r="H226" s="62"/>
      <c r="I226" s="115"/>
      <c r="J226" s="143"/>
      <c r="K226" s="70"/>
      <c r="L226" s="52"/>
      <c r="M226" s="8"/>
      <c r="N226" s="7"/>
      <c r="O226" s="218">
        <f t="shared" si="6"/>
        <v>0</v>
      </c>
      <c r="P226" s="218">
        <f t="shared" si="7"/>
        <v>0</v>
      </c>
      <c r="Q226" s="59"/>
      <c r="R226" s="51"/>
      <c r="S226" s="65"/>
      <c r="T226" s="64"/>
      <c r="U226" s="67"/>
      <c r="V226" s="74"/>
      <c r="W226" s="6">
        <f>'CLIENT ENROLLMENT DISCHARGE '!M225</f>
        <v>0</v>
      </c>
      <c r="X226" s="76">
        <f>'CLIENT ENROLLMENT DISCHARGE '!L225</f>
        <v>0</v>
      </c>
      <c r="Y226" s="180"/>
    </row>
    <row r="227" spans="1:25" ht="50.1" customHeight="1" x14ac:dyDescent="0.25">
      <c r="A227" s="5">
        <v>212</v>
      </c>
      <c r="B227" s="10">
        <f>'CLIENT ENROLLMENT DISCHARGE '!B226</f>
        <v>0</v>
      </c>
      <c r="C227" s="4">
        <f>'CLIENT ENROLLMENT DISCHARGE '!C226</f>
        <v>0</v>
      </c>
      <c r="D227" s="52"/>
      <c r="E227" s="53"/>
      <c r="F227" s="52"/>
      <c r="G227" s="53"/>
      <c r="H227" s="63"/>
      <c r="I227" s="116"/>
      <c r="J227" s="144"/>
      <c r="K227" s="71"/>
      <c r="L227" s="53"/>
      <c r="M227" s="2"/>
      <c r="N227" s="1"/>
      <c r="O227" s="218">
        <f t="shared" si="6"/>
        <v>0</v>
      </c>
      <c r="P227" s="218">
        <f t="shared" si="7"/>
        <v>0</v>
      </c>
      <c r="Q227" s="60"/>
      <c r="R227" s="52"/>
      <c r="S227" s="66"/>
      <c r="T227" s="65"/>
      <c r="U227" s="68"/>
      <c r="V227" s="59"/>
      <c r="W227" s="6">
        <f>'CLIENT ENROLLMENT DISCHARGE '!M226</f>
        <v>0</v>
      </c>
      <c r="X227" s="76">
        <f>'CLIENT ENROLLMENT DISCHARGE '!L226</f>
        <v>0</v>
      </c>
      <c r="Y227" s="180"/>
    </row>
    <row r="228" spans="1:25" ht="50.1" customHeight="1" x14ac:dyDescent="0.25">
      <c r="A228" s="5">
        <v>213</v>
      </c>
      <c r="B228" s="10">
        <f>'CLIENT ENROLLMENT DISCHARGE '!B227</f>
        <v>0</v>
      </c>
      <c r="C228" s="4">
        <f>'CLIENT ENROLLMENT DISCHARGE '!C227</f>
        <v>0</v>
      </c>
      <c r="D228" s="51"/>
      <c r="E228" s="52"/>
      <c r="F228" s="51"/>
      <c r="G228" s="52"/>
      <c r="H228" s="62"/>
      <c r="I228" s="115"/>
      <c r="J228" s="143"/>
      <c r="K228" s="70"/>
      <c r="L228" s="52"/>
      <c r="M228" s="8"/>
      <c r="N228" s="7"/>
      <c r="O228" s="218">
        <f t="shared" si="6"/>
        <v>0</v>
      </c>
      <c r="P228" s="218">
        <f t="shared" si="7"/>
        <v>0</v>
      </c>
      <c r="Q228" s="59"/>
      <c r="R228" s="51"/>
      <c r="S228" s="65"/>
      <c r="T228" s="64"/>
      <c r="U228" s="67"/>
      <c r="V228" s="74"/>
      <c r="W228" s="6">
        <f>'CLIENT ENROLLMENT DISCHARGE '!M227</f>
        <v>0</v>
      </c>
      <c r="X228" s="76">
        <f>'CLIENT ENROLLMENT DISCHARGE '!L227</f>
        <v>0</v>
      </c>
      <c r="Y228" s="180"/>
    </row>
    <row r="229" spans="1:25" ht="50.1" customHeight="1" x14ac:dyDescent="0.25">
      <c r="A229" s="5">
        <v>214</v>
      </c>
      <c r="B229" s="10">
        <f>'CLIENT ENROLLMENT DISCHARGE '!B228</f>
        <v>0</v>
      </c>
      <c r="C229" s="4">
        <f>'CLIENT ENROLLMENT DISCHARGE '!C228</f>
        <v>0</v>
      </c>
      <c r="D229" s="52"/>
      <c r="E229" s="53"/>
      <c r="F229" s="52"/>
      <c r="G229" s="53"/>
      <c r="H229" s="63"/>
      <c r="I229" s="116"/>
      <c r="J229" s="144"/>
      <c r="K229" s="71"/>
      <c r="L229" s="53"/>
      <c r="M229" s="2"/>
      <c r="N229" s="1"/>
      <c r="O229" s="218">
        <f t="shared" si="6"/>
        <v>0</v>
      </c>
      <c r="P229" s="218">
        <f t="shared" si="7"/>
        <v>0</v>
      </c>
      <c r="Q229" s="60"/>
      <c r="R229" s="52"/>
      <c r="S229" s="66"/>
      <c r="T229" s="65"/>
      <c r="U229" s="68"/>
      <c r="V229" s="59"/>
      <c r="W229" s="6">
        <f>'CLIENT ENROLLMENT DISCHARGE '!M228</f>
        <v>0</v>
      </c>
      <c r="X229" s="76">
        <f>'CLIENT ENROLLMENT DISCHARGE '!L228</f>
        <v>0</v>
      </c>
      <c r="Y229" s="180"/>
    </row>
    <row r="230" spans="1:25" ht="50.1" customHeight="1" x14ac:dyDescent="0.25">
      <c r="A230" s="5">
        <v>215</v>
      </c>
      <c r="B230" s="10">
        <f>'CLIENT ENROLLMENT DISCHARGE '!B229</f>
        <v>0</v>
      </c>
      <c r="C230" s="4">
        <f>'CLIENT ENROLLMENT DISCHARGE '!C229</f>
        <v>0</v>
      </c>
      <c r="D230" s="51"/>
      <c r="E230" s="52"/>
      <c r="F230" s="51"/>
      <c r="G230" s="52"/>
      <c r="H230" s="62"/>
      <c r="I230" s="115"/>
      <c r="J230" s="143"/>
      <c r="K230" s="70"/>
      <c r="L230" s="52"/>
      <c r="M230" s="8"/>
      <c r="N230" s="7"/>
      <c r="O230" s="218">
        <f t="shared" si="6"/>
        <v>0</v>
      </c>
      <c r="P230" s="218">
        <f t="shared" si="7"/>
        <v>0</v>
      </c>
      <c r="Q230" s="59"/>
      <c r="R230" s="51"/>
      <c r="S230" s="65"/>
      <c r="T230" s="64"/>
      <c r="U230" s="67"/>
      <c r="V230" s="74"/>
      <c r="W230" s="6">
        <f>'CLIENT ENROLLMENT DISCHARGE '!M229</f>
        <v>0</v>
      </c>
      <c r="X230" s="76">
        <f>'CLIENT ENROLLMENT DISCHARGE '!L229</f>
        <v>0</v>
      </c>
      <c r="Y230" s="180"/>
    </row>
    <row r="231" spans="1:25" ht="50.1" customHeight="1" x14ac:dyDescent="0.25">
      <c r="A231" s="5">
        <v>216</v>
      </c>
      <c r="B231" s="10">
        <f>'CLIENT ENROLLMENT DISCHARGE '!B230</f>
        <v>0</v>
      </c>
      <c r="C231" s="4">
        <f>'CLIENT ENROLLMENT DISCHARGE '!C230</f>
        <v>0</v>
      </c>
      <c r="D231" s="52"/>
      <c r="E231" s="53"/>
      <c r="F231" s="52"/>
      <c r="G231" s="53"/>
      <c r="H231" s="63"/>
      <c r="I231" s="116"/>
      <c r="J231" s="144"/>
      <c r="K231" s="71"/>
      <c r="L231" s="53"/>
      <c r="M231" s="2"/>
      <c r="N231" s="1"/>
      <c r="O231" s="218">
        <f t="shared" si="6"/>
        <v>0</v>
      </c>
      <c r="P231" s="218">
        <f t="shared" si="7"/>
        <v>0</v>
      </c>
      <c r="Q231" s="60"/>
      <c r="R231" s="52"/>
      <c r="S231" s="66"/>
      <c r="T231" s="65"/>
      <c r="U231" s="68"/>
      <c r="V231" s="75"/>
      <c r="W231" s="6">
        <f>'CLIENT ENROLLMENT DISCHARGE '!M230</f>
        <v>0</v>
      </c>
      <c r="X231" s="76">
        <f>'CLIENT ENROLLMENT DISCHARGE '!L230</f>
        <v>0</v>
      </c>
      <c r="Y231" s="180"/>
    </row>
    <row r="232" spans="1:25" ht="50.1" customHeight="1" x14ac:dyDescent="0.25">
      <c r="A232" s="5">
        <v>217</v>
      </c>
      <c r="B232" s="10">
        <f>'CLIENT ENROLLMENT DISCHARGE '!B231</f>
        <v>0</v>
      </c>
      <c r="C232" s="4">
        <f>'CLIENT ENROLLMENT DISCHARGE '!C231</f>
        <v>0</v>
      </c>
      <c r="D232" s="51"/>
      <c r="E232" s="52"/>
      <c r="F232" s="51"/>
      <c r="G232" s="52"/>
      <c r="H232" s="62"/>
      <c r="I232" s="115"/>
      <c r="J232" s="143"/>
      <c r="K232" s="70"/>
      <c r="L232" s="52"/>
      <c r="M232" s="8"/>
      <c r="N232" s="7"/>
      <c r="O232" s="218">
        <f t="shared" si="6"/>
        <v>0</v>
      </c>
      <c r="P232" s="218">
        <f t="shared" si="7"/>
        <v>0</v>
      </c>
      <c r="Q232" s="59"/>
      <c r="R232" s="51"/>
      <c r="S232" s="65"/>
      <c r="T232" s="64"/>
      <c r="U232" s="67"/>
      <c r="V232" s="74"/>
      <c r="W232" s="6">
        <f>'CLIENT ENROLLMENT DISCHARGE '!M231</f>
        <v>0</v>
      </c>
      <c r="X232" s="76">
        <f>'CLIENT ENROLLMENT DISCHARGE '!L231</f>
        <v>0</v>
      </c>
      <c r="Y232" s="180"/>
    </row>
    <row r="233" spans="1:25" ht="50.1" customHeight="1" x14ac:dyDescent="0.25">
      <c r="A233" s="5">
        <v>218</v>
      </c>
      <c r="B233" s="10">
        <f>'CLIENT ENROLLMENT DISCHARGE '!B232</f>
        <v>0</v>
      </c>
      <c r="C233" s="4">
        <f>'CLIENT ENROLLMENT DISCHARGE '!C232</f>
        <v>0</v>
      </c>
      <c r="D233" s="52"/>
      <c r="E233" s="53"/>
      <c r="F233" s="52"/>
      <c r="G233" s="53"/>
      <c r="H233" s="63"/>
      <c r="I233" s="116"/>
      <c r="J233" s="144"/>
      <c r="K233" s="71"/>
      <c r="L233" s="53"/>
      <c r="M233" s="2"/>
      <c r="N233" s="1"/>
      <c r="O233" s="218">
        <f t="shared" si="6"/>
        <v>0</v>
      </c>
      <c r="P233" s="218">
        <f t="shared" si="7"/>
        <v>0</v>
      </c>
      <c r="Q233" s="60"/>
      <c r="R233" s="52"/>
      <c r="S233" s="66"/>
      <c r="T233" s="65"/>
      <c r="U233" s="68"/>
      <c r="V233" s="59"/>
      <c r="W233" s="6">
        <f>'CLIENT ENROLLMENT DISCHARGE '!M232</f>
        <v>0</v>
      </c>
      <c r="X233" s="76">
        <f>'CLIENT ENROLLMENT DISCHARGE '!L232</f>
        <v>0</v>
      </c>
      <c r="Y233" s="180"/>
    </row>
    <row r="234" spans="1:25" ht="50.1" customHeight="1" x14ac:dyDescent="0.25">
      <c r="A234" s="5">
        <v>219</v>
      </c>
      <c r="B234" s="10">
        <f>'CLIENT ENROLLMENT DISCHARGE '!B233</f>
        <v>0</v>
      </c>
      <c r="C234" s="4">
        <f>'CLIENT ENROLLMENT DISCHARGE '!C233</f>
        <v>0</v>
      </c>
      <c r="D234" s="51"/>
      <c r="E234" s="52"/>
      <c r="F234" s="51"/>
      <c r="G234" s="52"/>
      <c r="H234" s="62"/>
      <c r="I234" s="115"/>
      <c r="J234" s="143"/>
      <c r="K234" s="70"/>
      <c r="L234" s="52"/>
      <c r="M234" s="8"/>
      <c r="N234" s="7"/>
      <c r="O234" s="218">
        <f t="shared" si="6"/>
        <v>0</v>
      </c>
      <c r="P234" s="218">
        <f t="shared" si="7"/>
        <v>0</v>
      </c>
      <c r="Q234" s="59"/>
      <c r="R234" s="51"/>
      <c r="S234" s="65"/>
      <c r="T234" s="64"/>
      <c r="U234" s="67"/>
      <c r="V234" s="74"/>
      <c r="W234" s="6">
        <f>'CLIENT ENROLLMENT DISCHARGE '!M233</f>
        <v>0</v>
      </c>
      <c r="X234" s="76">
        <f>'CLIENT ENROLLMENT DISCHARGE '!L233</f>
        <v>0</v>
      </c>
      <c r="Y234" s="180"/>
    </row>
    <row r="235" spans="1:25" ht="50.1" customHeight="1" x14ac:dyDescent="0.25">
      <c r="A235" s="5">
        <v>220</v>
      </c>
      <c r="B235" s="10">
        <f>'CLIENT ENROLLMENT DISCHARGE '!B234</f>
        <v>0</v>
      </c>
      <c r="C235" s="4">
        <f>'CLIENT ENROLLMENT DISCHARGE '!C234</f>
        <v>0</v>
      </c>
      <c r="D235" s="52"/>
      <c r="E235" s="53"/>
      <c r="F235" s="52"/>
      <c r="G235" s="53"/>
      <c r="H235" s="63"/>
      <c r="I235" s="116"/>
      <c r="J235" s="144"/>
      <c r="K235" s="71"/>
      <c r="L235" s="53"/>
      <c r="M235" s="2"/>
      <c r="N235" s="1"/>
      <c r="O235" s="218">
        <f t="shared" si="6"/>
        <v>0</v>
      </c>
      <c r="P235" s="218">
        <f t="shared" si="7"/>
        <v>0</v>
      </c>
      <c r="Q235" s="60"/>
      <c r="R235" s="52"/>
      <c r="S235" s="66"/>
      <c r="T235" s="65"/>
      <c r="U235" s="68"/>
      <c r="V235" s="59"/>
      <c r="W235" s="6">
        <f>'CLIENT ENROLLMENT DISCHARGE '!M234</f>
        <v>0</v>
      </c>
      <c r="X235" s="76">
        <f>'CLIENT ENROLLMENT DISCHARGE '!L234</f>
        <v>0</v>
      </c>
      <c r="Y235" s="180"/>
    </row>
    <row r="236" spans="1:25" ht="50.1" customHeight="1" x14ac:dyDescent="0.25">
      <c r="A236" s="5">
        <v>221</v>
      </c>
      <c r="B236" s="10">
        <f>'CLIENT ENROLLMENT DISCHARGE '!B235</f>
        <v>0</v>
      </c>
      <c r="C236" s="4">
        <f>'CLIENT ENROLLMENT DISCHARGE '!C235</f>
        <v>0</v>
      </c>
      <c r="D236" s="51"/>
      <c r="E236" s="52"/>
      <c r="F236" s="51"/>
      <c r="G236" s="52"/>
      <c r="H236" s="62"/>
      <c r="I236" s="115"/>
      <c r="J236" s="143"/>
      <c r="K236" s="70"/>
      <c r="L236" s="52"/>
      <c r="M236" s="8"/>
      <c r="N236" s="7"/>
      <c r="O236" s="218">
        <f t="shared" si="6"/>
        <v>0</v>
      </c>
      <c r="P236" s="218">
        <f t="shared" si="7"/>
        <v>0</v>
      </c>
      <c r="Q236" s="59"/>
      <c r="R236" s="51"/>
      <c r="S236" s="65"/>
      <c r="T236" s="64"/>
      <c r="U236" s="67"/>
      <c r="V236" s="74"/>
      <c r="W236" s="6">
        <f>'CLIENT ENROLLMENT DISCHARGE '!M235</f>
        <v>0</v>
      </c>
      <c r="X236" s="76">
        <f>'CLIENT ENROLLMENT DISCHARGE '!L235</f>
        <v>0</v>
      </c>
      <c r="Y236" s="180"/>
    </row>
    <row r="237" spans="1:25" ht="50.1" customHeight="1" x14ac:dyDescent="0.25">
      <c r="A237" s="5">
        <v>222</v>
      </c>
      <c r="B237" s="10">
        <f>'CLIENT ENROLLMENT DISCHARGE '!B236</f>
        <v>0</v>
      </c>
      <c r="C237" s="4">
        <f>'CLIENT ENROLLMENT DISCHARGE '!C236</f>
        <v>0</v>
      </c>
      <c r="D237" s="52"/>
      <c r="E237" s="53"/>
      <c r="F237" s="52"/>
      <c r="G237" s="53"/>
      <c r="H237" s="63"/>
      <c r="I237" s="116"/>
      <c r="J237" s="144"/>
      <c r="K237" s="71"/>
      <c r="L237" s="53"/>
      <c r="M237" s="2"/>
      <c r="N237" s="1"/>
      <c r="O237" s="218">
        <f t="shared" si="6"/>
        <v>0</v>
      </c>
      <c r="P237" s="218">
        <f t="shared" si="7"/>
        <v>0</v>
      </c>
      <c r="Q237" s="60"/>
      <c r="R237" s="52"/>
      <c r="S237" s="66"/>
      <c r="T237" s="65"/>
      <c r="U237" s="68"/>
      <c r="V237" s="59"/>
      <c r="W237" s="6">
        <f>'CLIENT ENROLLMENT DISCHARGE '!M236</f>
        <v>0</v>
      </c>
      <c r="X237" s="76">
        <f>'CLIENT ENROLLMENT DISCHARGE '!L236</f>
        <v>0</v>
      </c>
      <c r="Y237" s="180"/>
    </row>
    <row r="238" spans="1:25" ht="50.1" customHeight="1" x14ac:dyDescent="0.25">
      <c r="A238" s="5">
        <v>223</v>
      </c>
      <c r="B238" s="10">
        <f>'CLIENT ENROLLMENT DISCHARGE '!B237</f>
        <v>0</v>
      </c>
      <c r="C238" s="4">
        <f>'CLIENT ENROLLMENT DISCHARGE '!C237</f>
        <v>0</v>
      </c>
      <c r="D238" s="51"/>
      <c r="E238" s="52"/>
      <c r="F238" s="51"/>
      <c r="G238" s="52"/>
      <c r="H238" s="62"/>
      <c r="I238" s="115"/>
      <c r="J238" s="143"/>
      <c r="K238" s="70"/>
      <c r="L238" s="52"/>
      <c r="M238" s="8"/>
      <c r="N238" s="7"/>
      <c r="O238" s="218">
        <f t="shared" si="6"/>
        <v>0</v>
      </c>
      <c r="P238" s="218">
        <f t="shared" si="7"/>
        <v>0</v>
      </c>
      <c r="Q238" s="59"/>
      <c r="R238" s="51"/>
      <c r="S238" s="65"/>
      <c r="T238" s="64"/>
      <c r="U238" s="67"/>
      <c r="V238" s="74"/>
      <c r="W238" s="6">
        <f>'CLIENT ENROLLMENT DISCHARGE '!M237</f>
        <v>0</v>
      </c>
      <c r="X238" s="76">
        <f>'CLIENT ENROLLMENT DISCHARGE '!L237</f>
        <v>0</v>
      </c>
      <c r="Y238" s="180"/>
    </row>
    <row r="239" spans="1:25" ht="50.1" customHeight="1" x14ac:dyDescent="0.25">
      <c r="A239" s="5">
        <v>224</v>
      </c>
      <c r="B239" s="10">
        <f>'CLIENT ENROLLMENT DISCHARGE '!B238</f>
        <v>0</v>
      </c>
      <c r="C239" s="4">
        <f>'CLIENT ENROLLMENT DISCHARGE '!C238</f>
        <v>0</v>
      </c>
      <c r="D239" s="52"/>
      <c r="E239" s="53"/>
      <c r="F239" s="52"/>
      <c r="G239" s="53"/>
      <c r="H239" s="63"/>
      <c r="I239" s="116"/>
      <c r="J239" s="144"/>
      <c r="K239" s="71"/>
      <c r="L239" s="53"/>
      <c r="M239" s="2"/>
      <c r="N239" s="1"/>
      <c r="O239" s="218">
        <f t="shared" si="6"/>
        <v>0</v>
      </c>
      <c r="P239" s="218">
        <f t="shared" si="7"/>
        <v>0</v>
      </c>
      <c r="Q239" s="60"/>
      <c r="R239" s="52"/>
      <c r="S239" s="66"/>
      <c r="T239" s="65"/>
      <c r="U239" s="68"/>
      <c r="V239" s="59"/>
      <c r="W239" s="6">
        <f>'CLIENT ENROLLMENT DISCHARGE '!M238</f>
        <v>0</v>
      </c>
      <c r="X239" s="76">
        <f>'CLIENT ENROLLMENT DISCHARGE '!L238</f>
        <v>0</v>
      </c>
      <c r="Y239" s="180"/>
    </row>
    <row r="240" spans="1:25" ht="50.1" customHeight="1" x14ac:dyDescent="0.25">
      <c r="A240" s="5">
        <v>225</v>
      </c>
      <c r="B240" s="10">
        <f>'CLIENT ENROLLMENT DISCHARGE '!B239</f>
        <v>0</v>
      </c>
      <c r="C240" s="4">
        <f>'CLIENT ENROLLMENT DISCHARGE '!C239</f>
        <v>0</v>
      </c>
      <c r="D240" s="51"/>
      <c r="E240" s="52"/>
      <c r="F240" s="51"/>
      <c r="G240" s="52"/>
      <c r="H240" s="62"/>
      <c r="I240" s="115"/>
      <c r="J240" s="143"/>
      <c r="K240" s="70"/>
      <c r="L240" s="52"/>
      <c r="M240" s="8"/>
      <c r="N240" s="7"/>
      <c r="O240" s="218">
        <f t="shared" si="6"/>
        <v>0</v>
      </c>
      <c r="P240" s="218">
        <f t="shared" si="7"/>
        <v>0</v>
      </c>
      <c r="Q240" s="59"/>
      <c r="R240" s="51"/>
      <c r="S240" s="65"/>
      <c r="T240" s="64"/>
      <c r="U240" s="67"/>
      <c r="V240" s="74"/>
      <c r="W240" s="6">
        <f>'CLIENT ENROLLMENT DISCHARGE '!M239</f>
        <v>0</v>
      </c>
      <c r="X240" s="76">
        <f>'CLIENT ENROLLMENT DISCHARGE '!L239</f>
        <v>0</v>
      </c>
      <c r="Y240" s="180"/>
    </row>
    <row r="241" spans="1:25" ht="50.1" customHeight="1" x14ac:dyDescent="0.25">
      <c r="A241" s="5">
        <v>226</v>
      </c>
      <c r="B241" s="10">
        <f>'CLIENT ENROLLMENT DISCHARGE '!B240</f>
        <v>0</v>
      </c>
      <c r="C241" s="4">
        <f>'CLIENT ENROLLMENT DISCHARGE '!C240</f>
        <v>0</v>
      </c>
      <c r="D241" s="52"/>
      <c r="E241" s="53"/>
      <c r="F241" s="52"/>
      <c r="G241" s="53"/>
      <c r="H241" s="63"/>
      <c r="I241" s="116"/>
      <c r="J241" s="3"/>
      <c r="K241" s="71"/>
      <c r="L241" s="53"/>
      <c r="M241" s="2"/>
      <c r="N241" s="1"/>
      <c r="O241" s="218">
        <f t="shared" si="6"/>
        <v>0</v>
      </c>
      <c r="P241" s="218">
        <f t="shared" si="7"/>
        <v>0</v>
      </c>
      <c r="Q241" s="60"/>
      <c r="R241" s="52"/>
      <c r="S241" s="66"/>
      <c r="T241" s="65"/>
      <c r="U241" s="68"/>
      <c r="V241" s="75"/>
      <c r="W241" s="6">
        <f>'CLIENT ENROLLMENT DISCHARGE '!M240</f>
        <v>0</v>
      </c>
      <c r="X241" s="76">
        <f>'CLIENT ENROLLMENT DISCHARGE '!L240</f>
        <v>0</v>
      </c>
      <c r="Y241" s="180"/>
    </row>
    <row r="242" spans="1:25" ht="50.1" customHeight="1" x14ac:dyDescent="0.25">
      <c r="A242" s="5">
        <v>227</v>
      </c>
      <c r="B242" s="10">
        <f>'CLIENT ENROLLMENT DISCHARGE '!B241</f>
        <v>0</v>
      </c>
      <c r="C242" s="4">
        <f>'CLIENT ENROLLMENT DISCHARGE '!C241</f>
        <v>0</v>
      </c>
      <c r="D242" s="51"/>
      <c r="E242" s="52"/>
      <c r="F242" s="51"/>
      <c r="G242" s="52"/>
      <c r="H242" s="62"/>
      <c r="I242" s="115"/>
      <c r="J242" s="143"/>
      <c r="K242" s="70"/>
      <c r="L242" s="52"/>
      <c r="M242" s="8"/>
      <c r="N242" s="7"/>
      <c r="O242" s="218">
        <f t="shared" si="6"/>
        <v>0</v>
      </c>
      <c r="P242" s="218">
        <f t="shared" si="7"/>
        <v>0</v>
      </c>
      <c r="Q242" s="59"/>
      <c r="R242" s="51"/>
      <c r="S242" s="65"/>
      <c r="T242" s="64"/>
      <c r="U242" s="67"/>
      <c r="V242" s="74"/>
      <c r="W242" s="6">
        <f>'CLIENT ENROLLMENT DISCHARGE '!M241</f>
        <v>0</v>
      </c>
      <c r="X242" s="76">
        <f>'CLIENT ENROLLMENT DISCHARGE '!L241</f>
        <v>0</v>
      </c>
      <c r="Y242" s="180"/>
    </row>
    <row r="243" spans="1:25" ht="50.1" customHeight="1" x14ac:dyDescent="0.25">
      <c r="A243" s="5">
        <v>228</v>
      </c>
      <c r="B243" s="10">
        <f>'CLIENT ENROLLMENT DISCHARGE '!B242</f>
        <v>0</v>
      </c>
      <c r="C243" s="4">
        <f>'CLIENT ENROLLMENT DISCHARGE '!C242</f>
        <v>0</v>
      </c>
      <c r="D243" s="52"/>
      <c r="E243" s="53"/>
      <c r="F243" s="52"/>
      <c r="G243" s="53"/>
      <c r="H243" s="63"/>
      <c r="I243" s="116"/>
      <c r="J243" s="144"/>
      <c r="K243" s="71"/>
      <c r="L243" s="53"/>
      <c r="M243" s="2"/>
      <c r="N243" s="1"/>
      <c r="O243" s="218">
        <f t="shared" si="6"/>
        <v>0</v>
      </c>
      <c r="P243" s="218">
        <f t="shared" si="7"/>
        <v>0</v>
      </c>
      <c r="Q243" s="60"/>
      <c r="R243" s="52"/>
      <c r="S243" s="66"/>
      <c r="T243" s="65"/>
      <c r="U243" s="68"/>
      <c r="V243" s="59"/>
      <c r="W243" s="6">
        <f>'CLIENT ENROLLMENT DISCHARGE '!M242</f>
        <v>0</v>
      </c>
      <c r="X243" s="76">
        <f>'CLIENT ENROLLMENT DISCHARGE '!L242</f>
        <v>0</v>
      </c>
      <c r="Y243" s="180"/>
    </row>
    <row r="244" spans="1:25" ht="50.1" customHeight="1" x14ac:dyDescent="0.25">
      <c r="A244" s="5">
        <v>229</v>
      </c>
      <c r="B244" s="10">
        <f>'CLIENT ENROLLMENT DISCHARGE '!B243</f>
        <v>0</v>
      </c>
      <c r="C244" s="4">
        <f>'CLIENT ENROLLMENT DISCHARGE '!C243</f>
        <v>0</v>
      </c>
      <c r="D244" s="51"/>
      <c r="E244" s="52"/>
      <c r="F244" s="51"/>
      <c r="G244" s="52"/>
      <c r="H244" s="62"/>
      <c r="I244" s="115"/>
      <c r="J244" s="143"/>
      <c r="K244" s="70"/>
      <c r="L244" s="52"/>
      <c r="M244" s="8"/>
      <c r="N244" s="7"/>
      <c r="O244" s="218">
        <f t="shared" si="6"/>
        <v>0</v>
      </c>
      <c r="P244" s="218">
        <f t="shared" si="7"/>
        <v>0</v>
      </c>
      <c r="Q244" s="59"/>
      <c r="R244" s="51"/>
      <c r="S244" s="65"/>
      <c r="T244" s="64"/>
      <c r="U244" s="67"/>
      <c r="V244" s="74"/>
      <c r="W244" s="6">
        <f>'CLIENT ENROLLMENT DISCHARGE '!M243</f>
        <v>0</v>
      </c>
      <c r="X244" s="76">
        <f>'CLIENT ENROLLMENT DISCHARGE '!L243</f>
        <v>0</v>
      </c>
      <c r="Y244" s="180"/>
    </row>
    <row r="245" spans="1:25" ht="50.1" customHeight="1" x14ac:dyDescent="0.25">
      <c r="A245" s="5">
        <v>230</v>
      </c>
      <c r="B245" s="10">
        <f>'CLIENT ENROLLMENT DISCHARGE '!B244</f>
        <v>0</v>
      </c>
      <c r="C245" s="4">
        <f>'CLIENT ENROLLMENT DISCHARGE '!C244</f>
        <v>0</v>
      </c>
      <c r="D245" s="52"/>
      <c r="E245" s="53"/>
      <c r="F245" s="52"/>
      <c r="G245" s="53"/>
      <c r="H245" s="63"/>
      <c r="I245" s="116"/>
      <c r="J245" s="144"/>
      <c r="K245" s="71"/>
      <c r="L245" s="53"/>
      <c r="M245" s="2"/>
      <c r="N245" s="1"/>
      <c r="O245" s="218">
        <f t="shared" si="6"/>
        <v>0</v>
      </c>
      <c r="P245" s="218">
        <f t="shared" si="7"/>
        <v>0</v>
      </c>
      <c r="Q245" s="60"/>
      <c r="R245" s="52"/>
      <c r="S245" s="66"/>
      <c r="T245" s="65"/>
      <c r="U245" s="68"/>
      <c r="V245" s="59"/>
      <c r="W245" s="6">
        <f>'CLIENT ENROLLMENT DISCHARGE '!M244</f>
        <v>0</v>
      </c>
      <c r="X245" s="76">
        <f>'CLIENT ENROLLMENT DISCHARGE '!L244</f>
        <v>0</v>
      </c>
      <c r="Y245" s="180"/>
    </row>
    <row r="246" spans="1:25" ht="50.1" customHeight="1" x14ac:dyDescent="0.25">
      <c r="A246" s="5">
        <v>231</v>
      </c>
      <c r="B246" s="10">
        <f>'CLIENT ENROLLMENT DISCHARGE '!B245</f>
        <v>0</v>
      </c>
      <c r="C246" s="4">
        <f>'CLIENT ENROLLMENT DISCHARGE '!C245</f>
        <v>0</v>
      </c>
      <c r="D246" s="51"/>
      <c r="E246" s="52"/>
      <c r="F246" s="51"/>
      <c r="G246" s="52"/>
      <c r="H246" s="62"/>
      <c r="I246" s="115"/>
      <c r="J246" s="143"/>
      <c r="K246" s="70"/>
      <c r="L246" s="52"/>
      <c r="M246" s="8"/>
      <c r="N246" s="7"/>
      <c r="O246" s="218">
        <f t="shared" si="6"/>
        <v>0</v>
      </c>
      <c r="P246" s="218">
        <f t="shared" si="7"/>
        <v>0</v>
      </c>
      <c r="Q246" s="59"/>
      <c r="R246" s="51"/>
      <c r="S246" s="65"/>
      <c r="T246" s="64"/>
      <c r="U246" s="67"/>
      <c r="V246" s="74"/>
      <c r="W246" s="6">
        <f>'CLIENT ENROLLMENT DISCHARGE '!M245</f>
        <v>0</v>
      </c>
      <c r="X246" s="76">
        <f>'CLIENT ENROLLMENT DISCHARGE '!L245</f>
        <v>0</v>
      </c>
      <c r="Y246" s="180"/>
    </row>
    <row r="247" spans="1:25" ht="50.1" customHeight="1" x14ac:dyDescent="0.25">
      <c r="A247" s="5">
        <v>232</v>
      </c>
      <c r="B247" s="10">
        <f>'CLIENT ENROLLMENT DISCHARGE '!B246</f>
        <v>0</v>
      </c>
      <c r="C247" s="4">
        <f>'CLIENT ENROLLMENT DISCHARGE '!C246</f>
        <v>0</v>
      </c>
      <c r="D247" s="52"/>
      <c r="E247" s="53"/>
      <c r="F247" s="52"/>
      <c r="G247" s="53"/>
      <c r="H247" s="63"/>
      <c r="I247" s="116"/>
      <c r="J247" s="144"/>
      <c r="K247" s="71"/>
      <c r="L247" s="53"/>
      <c r="M247" s="2"/>
      <c r="N247" s="1"/>
      <c r="O247" s="218">
        <f t="shared" si="6"/>
        <v>0</v>
      </c>
      <c r="P247" s="218">
        <f t="shared" si="7"/>
        <v>0</v>
      </c>
      <c r="Q247" s="60"/>
      <c r="R247" s="52"/>
      <c r="S247" s="66"/>
      <c r="T247" s="65"/>
      <c r="U247" s="68"/>
      <c r="V247" s="59"/>
      <c r="W247" s="6">
        <f>'CLIENT ENROLLMENT DISCHARGE '!M246</f>
        <v>0</v>
      </c>
      <c r="X247" s="76">
        <f>'CLIENT ENROLLMENT DISCHARGE '!L246</f>
        <v>0</v>
      </c>
      <c r="Y247" s="180"/>
    </row>
    <row r="248" spans="1:25" ht="50.1" customHeight="1" x14ac:dyDescent="0.25">
      <c r="A248" s="5">
        <v>233</v>
      </c>
      <c r="B248" s="10">
        <f>'CLIENT ENROLLMENT DISCHARGE '!B247</f>
        <v>0</v>
      </c>
      <c r="C248" s="4">
        <f>'CLIENT ENROLLMENT DISCHARGE '!C247</f>
        <v>0</v>
      </c>
      <c r="D248" s="51"/>
      <c r="E248" s="52"/>
      <c r="F248" s="51"/>
      <c r="G248" s="52"/>
      <c r="H248" s="62"/>
      <c r="I248" s="115"/>
      <c r="J248" s="143"/>
      <c r="K248" s="70"/>
      <c r="L248" s="52"/>
      <c r="M248" s="8"/>
      <c r="N248" s="7"/>
      <c r="O248" s="218">
        <f t="shared" si="6"/>
        <v>0</v>
      </c>
      <c r="P248" s="218">
        <f t="shared" si="7"/>
        <v>0</v>
      </c>
      <c r="Q248" s="59"/>
      <c r="R248" s="51"/>
      <c r="S248" s="65"/>
      <c r="T248" s="64"/>
      <c r="U248" s="67"/>
      <c r="V248" s="74"/>
      <c r="W248" s="6">
        <f>'CLIENT ENROLLMENT DISCHARGE '!M247</f>
        <v>0</v>
      </c>
      <c r="X248" s="76">
        <f>'CLIENT ENROLLMENT DISCHARGE '!L247</f>
        <v>0</v>
      </c>
      <c r="Y248" s="180"/>
    </row>
    <row r="249" spans="1:25" ht="50.1" customHeight="1" x14ac:dyDescent="0.25">
      <c r="A249" s="5">
        <v>234</v>
      </c>
      <c r="B249" s="10">
        <f>'CLIENT ENROLLMENT DISCHARGE '!B248</f>
        <v>0</v>
      </c>
      <c r="C249" s="4">
        <f>'CLIENT ENROLLMENT DISCHARGE '!C248</f>
        <v>0</v>
      </c>
      <c r="D249" s="52"/>
      <c r="E249" s="53"/>
      <c r="F249" s="52"/>
      <c r="G249" s="53"/>
      <c r="H249" s="63"/>
      <c r="I249" s="116"/>
      <c r="J249" s="144"/>
      <c r="K249" s="71"/>
      <c r="L249" s="53"/>
      <c r="M249" s="2"/>
      <c r="N249" s="1"/>
      <c r="O249" s="218">
        <f t="shared" si="6"/>
        <v>0</v>
      </c>
      <c r="P249" s="218">
        <f t="shared" si="7"/>
        <v>0</v>
      </c>
      <c r="Q249" s="60"/>
      <c r="R249" s="52"/>
      <c r="S249" s="66"/>
      <c r="T249" s="65"/>
      <c r="U249" s="68"/>
      <c r="V249" s="59"/>
      <c r="W249" s="6">
        <f>'CLIENT ENROLLMENT DISCHARGE '!M248</f>
        <v>0</v>
      </c>
      <c r="X249" s="76">
        <f>'CLIENT ENROLLMENT DISCHARGE '!L248</f>
        <v>0</v>
      </c>
      <c r="Y249" s="180"/>
    </row>
    <row r="250" spans="1:25" ht="50.1" customHeight="1" x14ac:dyDescent="0.25">
      <c r="A250" s="5">
        <v>235</v>
      </c>
      <c r="B250" s="10">
        <f>'CLIENT ENROLLMENT DISCHARGE '!B249</f>
        <v>0</v>
      </c>
      <c r="C250" s="4">
        <f>'CLIENT ENROLLMENT DISCHARGE '!C249</f>
        <v>0</v>
      </c>
      <c r="D250" s="51"/>
      <c r="E250" s="52"/>
      <c r="F250" s="51"/>
      <c r="G250" s="52"/>
      <c r="H250" s="62"/>
      <c r="I250" s="115"/>
      <c r="J250" s="143"/>
      <c r="K250" s="70"/>
      <c r="L250" s="52"/>
      <c r="M250" s="8"/>
      <c r="N250" s="7"/>
      <c r="O250" s="218">
        <f t="shared" si="6"/>
        <v>0</v>
      </c>
      <c r="P250" s="218">
        <f t="shared" si="7"/>
        <v>0</v>
      </c>
      <c r="Q250" s="59"/>
      <c r="R250" s="51"/>
      <c r="S250" s="65"/>
      <c r="T250" s="64"/>
      <c r="U250" s="67"/>
      <c r="V250" s="74"/>
      <c r="W250" s="6">
        <f>'CLIENT ENROLLMENT DISCHARGE '!M249</f>
        <v>0</v>
      </c>
      <c r="X250" s="76">
        <f>'CLIENT ENROLLMENT DISCHARGE '!L249</f>
        <v>0</v>
      </c>
      <c r="Y250" s="180"/>
    </row>
    <row r="251" spans="1:25" ht="50.1" customHeight="1" x14ac:dyDescent="0.25">
      <c r="A251" s="5">
        <v>236</v>
      </c>
      <c r="B251" s="10">
        <f>'CLIENT ENROLLMENT DISCHARGE '!B250</f>
        <v>0</v>
      </c>
      <c r="C251" s="4">
        <f>'CLIENT ENROLLMENT DISCHARGE '!C250</f>
        <v>0</v>
      </c>
      <c r="D251" s="52"/>
      <c r="E251" s="53"/>
      <c r="F251" s="52"/>
      <c r="G251" s="53"/>
      <c r="H251" s="63"/>
      <c r="I251" s="116"/>
      <c r="J251" s="144"/>
      <c r="K251" s="71"/>
      <c r="L251" s="53"/>
      <c r="M251" s="2"/>
      <c r="N251" s="1"/>
      <c r="O251" s="218">
        <f t="shared" si="6"/>
        <v>0</v>
      </c>
      <c r="P251" s="218">
        <f t="shared" si="7"/>
        <v>0</v>
      </c>
      <c r="Q251" s="60"/>
      <c r="R251" s="52"/>
      <c r="S251" s="66"/>
      <c r="T251" s="65"/>
      <c r="U251" s="68"/>
      <c r="V251" s="75"/>
      <c r="W251" s="6">
        <f>'CLIENT ENROLLMENT DISCHARGE '!M250</f>
        <v>0</v>
      </c>
      <c r="X251" s="76">
        <f>'CLIENT ENROLLMENT DISCHARGE '!L250</f>
        <v>0</v>
      </c>
      <c r="Y251" s="180"/>
    </row>
    <row r="252" spans="1:25" ht="50.1" customHeight="1" x14ac:dyDescent="0.25">
      <c r="A252" s="5">
        <v>237</v>
      </c>
      <c r="B252" s="10">
        <f>'CLIENT ENROLLMENT DISCHARGE '!B251</f>
        <v>0</v>
      </c>
      <c r="C252" s="4">
        <f>'CLIENT ENROLLMENT DISCHARGE '!C251</f>
        <v>0</v>
      </c>
      <c r="D252" s="51"/>
      <c r="E252" s="52"/>
      <c r="F252" s="51"/>
      <c r="G252" s="52"/>
      <c r="H252" s="62"/>
      <c r="I252" s="115"/>
      <c r="J252" s="143"/>
      <c r="K252" s="70"/>
      <c r="L252" s="52"/>
      <c r="M252" s="8"/>
      <c r="N252" s="7"/>
      <c r="O252" s="218">
        <f t="shared" si="6"/>
        <v>0</v>
      </c>
      <c r="P252" s="218">
        <f t="shared" si="7"/>
        <v>0</v>
      </c>
      <c r="Q252" s="59"/>
      <c r="R252" s="51"/>
      <c r="S252" s="65"/>
      <c r="T252" s="64"/>
      <c r="U252" s="67"/>
      <c r="V252" s="74"/>
      <c r="W252" s="6">
        <f>'CLIENT ENROLLMENT DISCHARGE '!M251</f>
        <v>0</v>
      </c>
      <c r="X252" s="76">
        <f>'CLIENT ENROLLMENT DISCHARGE '!L251</f>
        <v>0</v>
      </c>
      <c r="Y252" s="180"/>
    </row>
    <row r="253" spans="1:25" ht="50.1" customHeight="1" x14ac:dyDescent="0.25">
      <c r="A253" s="5">
        <v>238</v>
      </c>
      <c r="B253" s="10">
        <f>'CLIENT ENROLLMENT DISCHARGE '!B252</f>
        <v>0</v>
      </c>
      <c r="C253" s="4">
        <f>'CLIENT ENROLLMENT DISCHARGE '!C252</f>
        <v>0</v>
      </c>
      <c r="D253" s="52"/>
      <c r="E253" s="53"/>
      <c r="F253" s="52"/>
      <c r="G253" s="53"/>
      <c r="H253" s="63"/>
      <c r="I253" s="116"/>
      <c r="J253" s="144"/>
      <c r="K253" s="71"/>
      <c r="L253" s="53"/>
      <c r="M253" s="2"/>
      <c r="N253" s="1"/>
      <c r="O253" s="218">
        <f t="shared" si="6"/>
        <v>0</v>
      </c>
      <c r="P253" s="218">
        <f t="shared" si="7"/>
        <v>0</v>
      </c>
      <c r="Q253" s="60"/>
      <c r="R253" s="52"/>
      <c r="S253" s="66"/>
      <c r="T253" s="65"/>
      <c r="U253" s="68"/>
      <c r="V253" s="59"/>
      <c r="W253" s="6">
        <f>'CLIENT ENROLLMENT DISCHARGE '!M252</f>
        <v>0</v>
      </c>
      <c r="X253" s="76">
        <f>'CLIENT ENROLLMENT DISCHARGE '!L252</f>
        <v>0</v>
      </c>
      <c r="Y253" s="180"/>
    </row>
    <row r="254" spans="1:25" ht="50.1" customHeight="1" x14ac:dyDescent="0.25">
      <c r="A254" s="5">
        <v>239</v>
      </c>
      <c r="B254" s="10">
        <f>'CLIENT ENROLLMENT DISCHARGE '!B253</f>
        <v>0</v>
      </c>
      <c r="C254" s="4">
        <f>'CLIENT ENROLLMENT DISCHARGE '!C253</f>
        <v>0</v>
      </c>
      <c r="D254" s="51"/>
      <c r="E254" s="52"/>
      <c r="F254" s="51"/>
      <c r="G254" s="52"/>
      <c r="H254" s="62"/>
      <c r="I254" s="115"/>
      <c r="J254" s="143"/>
      <c r="K254" s="70"/>
      <c r="L254" s="52"/>
      <c r="M254" s="8"/>
      <c r="N254" s="7"/>
      <c r="O254" s="218">
        <f t="shared" si="6"/>
        <v>0</v>
      </c>
      <c r="P254" s="218">
        <f t="shared" si="7"/>
        <v>0</v>
      </c>
      <c r="Q254" s="59"/>
      <c r="R254" s="51"/>
      <c r="S254" s="65"/>
      <c r="T254" s="64"/>
      <c r="U254" s="67"/>
      <c r="V254" s="74"/>
      <c r="W254" s="6">
        <f>'CLIENT ENROLLMENT DISCHARGE '!M253</f>
        <v>0</v>
      </c>
      <c r="X254" s="76">
        <f>'CLIENT ENROLLMENT DISCHARGE '!L253</f>
        <v>0</v>
      </c>
      <c r="Y254" s="180"/>
    </row>
    <row r="255" spans="1:25" ht="50.1" customHeight="1" x14ac:dyDescent="0.25">
      <c r="A255" s="5">
        <v>240</v>
      </c>
      <c r="B255" s="10">
        <f>'CLIENT ENROLLMENT DISCHARGE '!B254</f>
        <v>0</v>
      </c>
      <c r="C255" s="4">
        <f>'CLIENT ENROLLMENT DISCHARGE '!C254</f>
        <v>0</v>
      </c>
      <c r="D255" s="52"/>
      <c r="E255" s="53"/>
      <c r="F255" s="52"/>
      <c r="G255" s="53"/>
      <c r="H255" s="63"/>
      <c r="I255" s="116"/>
      <c r="J255" s="144"/>
      <c r="K255" s="71"/>
      <c r="L255" s="53"/>
      <c r="M255" s="2"/>
      <c r="N255" s="1"/>
      <c r="O255" s="218">
        <f t="shared" si="6"/>
        <v>0</v>
      </c>
      <c r="P255" s="218">
        <f t="shared" si="7"/>
        <v>0</v>
      </c>
      <c r="Q255" s="60"/>
      <c r="R255" s="52"/>
      <c r="S255" s="66"/>
      <c r="T255" s="65"/>
      <c r="U255" s="68"/>
      <c r="V255" s="59"/>
      <c r="W255" s="6">
        <f>'CLIENT ENROLLMENT DISCHARGE '!M254</f>
        <v>0</v>
      </c>
      <c r="X255" s="76">
        <f>'CLIENT ENROLLMENT DISCHARGE '!L254</f>
        <v>0</v>
      </c>
      <c r="Y255" s="180"/>
    </row>
    <row r="256" spans="1:25" ht="50.1" customHeight="1" x14ac:dyDescent="0.25">
      <c r="A256" s="5">
        <v>241</v>
      </c>
      <c r="B256" s="10">
        <f>'CLIENT ENROLLMENT DISCHARGE '!B255</f>
        <v>0</v>
      </c>
      <c r="C256" s="4">
        <f>'CLIENT ENROLLMENT DISCHARGE '!C255</f>
        <v>0</v>
      </c>
      <c r="D256" s="51"/>
      <c r="E256" s="52"/>
      <c r="F256" s="51"/>
      <c r="G256" s="52"/>
      <c r="H256" s="62"/>
      <c r="I256" s="115"/>
      <c r="J256" s="143"/>
      <c r="K256" s="70"/>
      <c r="L256" s="52"/>
      <c r="M256" s="8"/>
      <c r="N256" s="7"/>
      <c r="O256" s="218">
        <f t="shared" si="6"/>
        <v>0</v>
      </c>
      <c r="P256" s="218">
        <f t="shared" si="7"/>
        <v>0</v>
      </c>
      <c r="Q256" s="59"/>
      <c r="R256" s="51"/>
      <c r="S256" s="65"/>
      <c r="T256" s="64"/>
      <c r="U256" s="67"/>
      <c r="V256" s="74"/>
      <c r="W256" s="6">
        <f>'CLIENT ENROLLMENT DISCHARGE '!M255</f>
        <v>0</v>
      </c>
      <c r="X256" s="76">
        <f>'CLIENT ENROLLMENT DISCHARGE '!L255</f>
        <v>0</v>
      </c>
      <c r="Y256" s="180"/>
    </row>
    <row r="257" spans="1:25" ht="50.1" customHeight="1" x14ac:dyDescent="0.25">
      <c r="A257" s="5">
        <v>242</v>
      </c>
      <c r="B257" s="10">
        <f>'CLIENT ENROLLMENT DISCHARGE '!B256</f>
        <v>0</v>
      </c>
      <c r="C257" s="4">
        <f>'CLIENT ENROLLMENT DISCHARGE '!C256</f>
        <v>0</v>
      </c>
      <c r="D257" s="52"/>
      <c r="E257" s="53"/>
      <c r="F257" s="52"/>
      <c r="G257" s="53"/>
      <c r="H257" s="63"/>
      <c r="I257" s="116"/>
      <c r="J257" s="144"/>
      <c r="K257" s="71"/>
      <c r="L257" s="53"/>
      <c r="M257" s="2"/>
      <c r="N257" s="1"/>
      <c r="O257" s="218">
        <f t="shared" si="6"/>
        <v>0</v>
      </c>
      <c r="P257" s="218">
        <f t="shared" si="7"/>
        <v>0</v>
      </c>
      <c r="Q257" s="60"/>
      <c r="R257" s="52"/>
      <c r="S257" s="66"/>
      <c r="T257" s="65"/>
      <c r="U257" s="68"/>
      <c r="V257" s="59"/>
      <c r="W257" s="6">
        <f>'CLIENT ENROLLMENT DISCHARGE '!M256</f>
        <v>0</v>
      </c>
      <c r="X257" s="76">
        <f>'CLIENT ENROLLMENT DISCHARGE '!L256</f>
        <v>0</v>
      </c>
      <c r="Y257" s="180"/>
    </row>
    <row r="258" spans="1:25" ht="50.1" customHeight="1" x14ac:dyDescent="0.25">
      <c r="A258" s="5">
        <v>243</v>
      </c>
      <c r="B258" s="10">
        <f>'CLIENT ENROLLMENT DISCHARGE '!B257</f>
        <v>0</v>
      </c>
      <c r="C258" s="4">
        <f>'CLIENT ENROLLMENT DISCHARGE '!C257</f>
        <v>0</v>
      </c>
      <c r="D258" s="51"/>
      <c r="E258" s="52"/>
      <c r="F258" s="51"/>
      <c r="G258" s="52"/>
      <c r="H258" s="62"/>
      <c r="I258" s="115"/>
      <c r="J258" s="143"/>
      <c r="K258" s="70"/>
      <c r="L258" s="52"/>
      <c r="M258" s="8"/>
      <c r="N258" s="7"/>
      <c r="O258" s="218">
        <f t="shared" si="6"/>
        <v>0</v>
      </c>
      <c r="P258" s="218">
        <f t="shared" si="7"/>
        <v>0</v>
      </c>
      <c r="Q258" s="59"/>
      <c r="R258" s="51"/>
      <c r="S258" s="65"/>
      <c r="T258" s="64"/>
      <c r="U258" s="67"/>
      <c r="V258" s="74"/>
      <c r="W258" s="6">
        <f>'CLIENT ENROLLMENT DISCHARGE '!M257</f>
        <v>0</v>
      </c>
      <c r="X258" s="76">
        <f>'CLIENT ENROLLMENT DISCHARGE '!L257</f>
        <v>0</v>
      </c>
      <c r="Y258" s="180"/>
    </row>
    <row r="259" spans="1:25" ht="50.1" customHeight="1" x14ac:dyDescent="0.25">
      <c r="A259" s="5">
        <v>244</v>
      </c>
      <c r="B259" s="10">
        <f>'CLIENT ENROLLMENT DISCHARGE '!B258</f>
        <v>0</v>
      </c>
      <c r="C259" s="4">
        <f>'CLIENT ENROLLMENT DISCHARGE '!C258</f>
        <v>0</v>
      </c>
      <c r="D259" s="52"/>
      <c r="E259" s="53"/>
      <c r="F259" s="52"/>
      <c r="G259" s="53"/>
      <c r="H259" s="63"/>
      <c r="I259" s="116"/>
      <c r="J259" s="144"/>
      <c r="K259" s="71"/>
      <c r="L259" s="53"/>
      <c r="M259" s="2"/>
      <c r="N259" s="1"/>
      <c r="O259" s="218">
        <f t="shared" si="6"/>
        <v>0</v>
      </c>
      <c r="P259" s="218">
        <f t="shared" si="7"/>
        <v>0</v>
      </c>
      <c r="Q259" s="60"/>
      <c r="R259" s="52"/>
      <c r="S259" s="66"/>
      <c r="T259" s="65"/>
      <c r="U259" s="68"/>
      <c r="V259" s="59"/>
      <c r="W259" s="6">
        <f>'CLIENT ENROLLMENT DISCHARGE '!M258</f>
        <v>0</v>
      </c>
      <c r="X259" s="76">
        <f>'CLIENT ENROLLMENT DISCHARGE '!L258</f>
        <v>0</v>
      </c>
      <c r="Y259" s="180"/>
    </row>
    <row r="260" spans="1:25" ht="50.1" customHeight="1" x14ac:dyDescent="0.25">
      <c r="A260" s="5">
        <v>245</v>
      </c>
      <c r="B260" s="10">
        <f>'CLIENT ENROLLMENT DISCHARGE '!B259</f>
        <v>0</v>
      </c>
      <c r="C260" s="4">
        <f>'CLIENT ENROLLMENT DISCHARGE '!C259</f>
        <v>0</v>
      </c>
      <c r="D260" s="51"/>
      <c r="E260" s="52"/>
      <c r="F260" s="51"/>
      <c r="G260" s="52"/>
      <c r="H260" s="62"/>
      <c r="I260" s="115"/>
      <c r="J260" s="143"/>
      <c r="K260" s="70"/>
      <c r="L260" s="52"/>
      <c r="M260" s="8"/>
      <c r="N260" s="7"/>
      <c r="O260" s="218">
        <f t="shared" si="6"/>
        <v>0</v>
      </c>
      <c r="P260" s="218">
        <f t="shared" si="7"/>
        <v>0</v>
      </c>
      <c r="Q260" s="59"/>
      <c r="R260" s="51"/>
      <c r="S260" s="65"/>
      <c r="T260" s="64"/>
      <c r="U260" s="67"/>
      <c r="V260" s="74"/>
      <c r="W260" s="6">
        <f>'CLIENT ENROLLMENT DISCHARGE '!M259</f>
        <v>0</v>
      </c>
      <c r="X260" s="76">
        <f>'CLIENT ENROLLMENT DISCHARGE '!L259</f>
        <v>0</v>
      </c>
      <c r="Y260" s="180"/>
    </row>
    <row r="261" spans="1:25" ht="50.1" customHeight="1" x14ac:dyDescent="0.25">
      <c r="A261" s="5">
        <v>246</v>
      </c>
      <c r="B261" s="10">
        <f>'CLIENT ENROLLMENT DISCHARGE '!B260</f>
        <v>0</v>
      </c>
      <c r="C261" s="4">
        <f>'CLIENT ENROLLMENT DISCHARGE '!C260</f>
        <v>0</v>
      </c>
      <c r="D261" s="52"/>
      <c r="E261" s="53"/>
      <c r="F261" s="52"/>
      <c r="G261" s="53"/>
      <c r="H261" s="63"/>
      <c r="I261" s="116"/>
      <c r="J261" s="3"/>
      <c r="K261" s="71"/>
      <c r="L261" s="53"/>
      <c r="M261" s="2"/>
      <c r="N261" s="1"/>
      <c r="O261" s="218">
        <f t="shared" si="6"/>
        <v>0</v>
      </c>
      <c r="P261" s="218">
        <f t="shared" si="7"/>
        <v>0</v>
      </c>
      <c r="Q261" s="60"/>
      <c r="R261" s="52"/>
      <c r="S261" s="66"/>
      <c r="T261" s="65"/>
      <c r="U261" s="68"/>
      <c r="V261" s="75"/>
      <c r="W261" s="6">
        <f>'CLIENT ENROLLMENT DISCHARGE '!M260</f>
        <v>0</v>
      </c>
      <c r="X261" s="76">
        <f>'CLIENT ENROLLMENT DISCHARGE '!L260</f>
        <v>0</v>
      </c>
      <c r="Y261" s="180"/>
    </row>
    <row r="262" spans="1:25" ht="50.1" customHeight="1" x14ac:dyDescent="0.25">
      <c r="A262" s="5">
        <v>247</v>
      </c>
      <c r="B262" s="10">
        <f>'CLIENT ENROLLMENT DISCHARGE '!B261</f>
        <v>0</v>
      </c>
      <c r="C262" s="4">
        <f>'CLIENT ENROLLMENT DISCHARGE '!C261</f>
        <v>0</v>
      </c>
      <c r="D262" s="51"/>
      <c r="E262" s="52"/>
      <c r="F262" s="51"/>
      <c r="G262" s="52"/>
      <c r="H262" s="62"/>
      <c r="I262" s="115"/>
      <c r="J262" s="143"/>
      <c r="K262" s="70"/>
      <c r="L262" s="52"/>
      <c r="M262" s="8"/>
      <c r="N262" s="7"/>
      <c r="O262" s="218">
        <f t="shared" si="6"/>
        <v>0</v>
      </c>
      <c r="P262" s="218">
        <f t="shared" si="7"/>
        <v>0</v>
      </c>
      <c r="Q262" s="59"/>
      <c r="R262" s="51"/>
      <c r="S262" s="65"/>
      <c r="T262" s="64"/>
      <c r="U262" s="67"/>
      <c r="V262" s="74"/>
      <c r="W262" s="6">
        <f>'CLIENT ENROLLMENT DISCHARGE '!M261</f>
        <v>0</v>
      </c>
      <c r="X262" s="76">
        <f>'CLIENT ENROLLMENT DISCHARGE '!L261</f>
        <v>0</v>
      </c>
      <c r="Y262" s="180"/>
    </row>
    <row r="263" spans="1:25" ht="50.1" customHeight="1" x14ac:dyDescent="0.25">
      <c r="A263" s="5">
        <v>248</v>
      </c>
      <c r="B263" s="10">
        <f>'CLIENT ENROLLMENT DISCHARGE '!B262</f>
        <v>0</v>
      </c>
      <c r="C263" s="4">
        <f>'CLIENT ENROLLMENT DISCHARGE '!C262</f>
        <v>0</v>
      </c>
      <c r="D263" s="52"/>
      <c r="E263" s="53"/>
      <c r="F263" s="52"/>
      <c r="G263" s="53"/>
      <c r="H263" s="63"/>
      <c r="I263" s="116"/>
      <c r="J263" s="144"/>
      <c r="K263" s="71"/>
      <c r="L263" s="53"/>
      <c r="M263" s="2"/>
      <c r="N263" s="1"/>
      <c r="O263" s="218">
        <f t="shared" si="6"/>
        <v>0</v>
      </c>
      <c r="P263" s="218">
        <f t="shared" si="7"/>
        <v>0</v>
      </c>
      <c r="Q263" s="60"/>
      <c r="R263" s="52"/>
      <c r="S263" s="66"/>
      <c r="T263" s="65"/>
      <c r="U263" s="68"/>
      <c r="V263" s="59"/>
      <c r="W263" s="6">
        <f>'CLIENT ENROLLMENT DISCHARGE '!M262</f>
        <v>0</v>
      </c>
      <c r="X263" s="76">
        <f>'CLIENT ENROLLMENT DISCHARGE '!L262</f>
        <v>0</v>
      </c>
      <c r="Y263" s="180"/>
    </row>
    <row r="264" spans="1:25" ht="50.1" customHeight="1" x14ac:dyDescent="0.25">
      <c r="A264" s="5">
        <v>249</v>
      </c>
      <c r="B264" s="10">
        <f>'CLIENT ENROLLMENT DISCHARGE '!B263</f>
        <v>0</v>
      </c>
      <c r="C264" s="4">
        <f>'CLIENT ENROLLMENT DISCHARGE '!C263</f>
        <v>0</v>
      </c>
      <c r="D264" s="51"/>
      <c r="E264" s="52"/>
      <c r="F264" s="51"/>
      <c r="G264" s="52"/>
      <c r="H264" s="62"/>
      <c r="I264" s="115"/>
      <c r="J264" s="143"/>
      <c r="K264" s="70"/>
      <c r="L264" s="52"/>
      <c r="M264" s="8"/>
      <c r="N264" s="7"/>
      <c r="O264" s="218">
        <f t="shared" si="6"/>
        <v>0</v>
      </c>
      <c r="P264" s="218">
        <f t="shared" si="7"/>
        <v>0</v>
      </c>
      <c r="Q264" s="59"/>
      <c r="R264" s="51"/>
      <c r="S264" s="65"/>
      <c r="T264" s="64"/>
      <c r="U264" s="67"/>
      <c r="V264" s="74"/>
      <c r="W264" s="6">
        <f>'CLIENT ENROLLMENT DISCHARGE '!M263</f>
        <v>0</v>
      </c>
      <c r="X264" s="76">
        <f>'CLIENT ENROLLMENT DISCHARGE '!L263</f>
        <v>0</v>
      </c>
      <c r="Y264" s="180"/>
    </row>
    <row r="265" spans="1:25" ht="50.1" customHeight="1" x14ac:dyDescent="0.25">
      <c r="A265" s="5">
        <v>250</v>
      </c>
      <c r="B265" s="10">
        <f>'CLIENT ENROLLMENT DISCHARGE '!B264</f>
        <v>0</v>
      </c>
      <c r="C265" s="4">
        <f>'CLIENT ENROLLMENT DISCHARGE '!C264</f>
        <v>0</v>
      </c>
      <c r="D265" s="52"/>
      <c r="E265" s="53"/>
      <c r="F265" s="52"/>
      <c r="G265" s="53"/>
      <c r="H265" s="63"/>
      <c r="I265" s="116"/>
      <c r="J265" s="144"/>
      <c r="K265" s="71"/>
      <c r="L265" s="53"/>
      <c r="M265" s="2"/>
      <c r="N265" s="1"/>
      <c r="O265" s="218">
        <f t="shared" si="6"/>
        <v>0</v>
      </c>
      <c r="P265" s="218">
        <f t="shared" si="7"/>
        <v>0</v>
      </c>
      <c r="Q265" s="60"/>
      <c r="R265" s="52"/>
      <c r="S265" s="66"/>
      <c r="T265" s="65"/>
      <c r="U265" s="68"/>
      <c r="V265" s="59"/>
      <c r="W265" s="6">
        <f>'CLIENT ENROLLMENT DISCHARGE '!M264</f>
        <v>0</v>
      </c>
      <c r="X265" s="76">
        <f>'CLIENT ENROLLMENT DISCHARGE '!L264</f>
        <v>0</v>
      </c>
      <c r="Y265" s="180"/>
    </row>
    <row r="266" spans="1:25" ht="50.1" customHeight="1" x14ac:dyDescent="0.25">
      <c r="A266" s="5">
        <v>251</v>
      </c>
      <c r="B266" s="10">
        <f>'CLIENT ENROLLMENT DISCHARGE '!B265</f>
        <v>0</v>
      </c>
      <c r="C266" s="4">
        <f>'CLIENT ENROLLMENT DISCHARGE '!C265</f>
        <v>0</v>
      </c>
      <c r="D266" s="51"/>
      <c r="E266" s="52"/>
      <c r="F266" s="51"/>
      <c r="G266" s="52"/>
      <c r="H266" s="62"/>
      <c r="I266" s="115"/>
      <c r="J266" s="143"/>
      <c r="K266" s="70"/>
      <c r="L266" s="52"/>
      <c r="M266" s="8"/>
      <c r="N266" s="7"/>
      <c r="O266" s="218">
        <f t="shared" si="6"/>
        <v>0</v>
      </c>
      <c r="P266" s="218">
        <f t="shared" si="7"/>
        <v>0</v>
      </c>
      <c r="Q266" s="59"/>
      <c r="R266" s="51"/>
      <c r="S266" s="65"/>
      <c r="T266" s="64"/>
      <c r="U266" s="67"/>
      <c r="V266" s="74"/>
      <c r="W266" s="6">
        <f>'CLIENT ENROLLMENT DISCHARGE '!M265</f>
        <v>0</v>
      </c>
      <c r="X266" s="76">
        <f>'CLIENT ENROLLMENT DISCHARGE '!L265</f>
        <v>0</v>
      </c>
      <c r="Y266" s="180"/>
    </row>
    <row r="267" spans="1:25" ht="50.1" customHeight="1" x14ac:dyDescent="0.25">
      <c r="A267" s="5">
        <v>252</v>
      </c>
      <c r="B267" s="10">
        <f>'CLIENT ENROLLMENT DISCHARGE '!B266</f>
        <v>0</v>
      </c>
      <c r="C267" s="4">
        <f>'CLIENT ENROLLMENT DISCHARGE '!C266</f>
        <v>0</v>
      </c>
      <c r="D267" s="52"/>
      <c r="E267" s="53"/>
      <c r="F267" s="52"/>
      <c r="G267" s="53"/>
      <c r="H267" s="63"/>
      <c r="I267" s="116"/>
      <c r="J267" s="144"/>
      <c r="K267" s="71"/>
      <c r="L267" s="53"/>
      <c r="M267" s="2"/>
      <c r="N267" s="1"/>
      <c r="O267" s="218">
        <f t="shared" si="6"/>
        <v>0</v>
      </c>
      <c r="P267" s="218">
        <f t="shared" si="7"/>
        <v>0</v>
      </c>
      <c r="Q267" s="60"/>
      <c r="R267" s="52"/>
      <c r="S267" s="66"/>
      <c r="T267" s="65"/>
      <c r="U267" s="68"/>
      <c r="V267" s="59"/>
      <c r="W267" s="6">
        <f>'CLIENT ENROLLMENT DISCHARGE '!M266</f>
        <v>0</v>
      </c>
      <c r="X267" s="76">
        <f>'CLIENT ENROLLMENT DISCHARGE '!L266</f>
        <v>0</v>
      </c>
      <c r="Y267" s="180"/>
    </row>
    <row r="268" spans="1:25" ht="50.1" customHeight="1" x14ac:dyDescent="0.25">
      <c r="A268" s="5">
        <v>253</v>
      </c>
      <c r="B268" s="10">
        <f>'CLIENT ENROLLMENT DISCHARGE '!B267</f>
        <v>0</v>
      </c>
      <c r="C268" s="4">
        <f>'CLIENT ENROLLMENT DISCHARGE '!C267</f>
        <v>0</v>
      </c>
      <c r="D268" s="51"/>
      <c r="E268" s="52"/>
      <c r="F268" s="51"/>
      <c r="G268" s="52"/>
      <c r="H268" s="62"/>
      <c r="I268" s="115"/>
      <c r="J268" s="143"/>
      <c r="K268" s="70"/>
      <c r="L268" s="52"/>
      <c r="M268" s="8"/>
      <c r="N268" s="7"/>
      <c r="O268" s="218">
        <f t="shared" si="6"/>
        <v>0</v>
      </c>
      <c r="P268" s="218">
        <f t="shared" si="7"/>
        <v>0</v>
      </c>
      <c r="Q268" s="59"/>
      <c r="R268" s="51"/>
      <c r="S268" s="65"/>
      <c r="T268" s="64"/>
      <c r="U268" s="67"/>
      <c r="V268" s="74"/>
      <c r="W268" s="6">
        <f>'CLIENT ENROLLMENT DISCHARGE '!M267</f>
        <v>0</v>
      </c>
      <c r="X268" s="76">
        <f>'CLIENT ENROLLMENT DISCHARGE '!L267</f>
        <v>0</v>
      </c>
      <c r="Y268" s="180"/>
    </row>
    <row r="269" spans="1:25" ht="50.1" customHeight="1" x14ac:dyDescent="0.25">
      <c r="A269" s="5">
        <v>254</v>
      </c>
      <c r="B269" s="10">
        <f>'CLIENT ENROLLMENT DISCHARGE '!B268</f>
        <v>0</v>
      </c>
      <c r="C269" s="4">
        <f>'CLIENT ENROLLMENT DISCHARGE '!C268</f>
        <v>0</v>
      </c>
      <c r="D269" s="52"/>
      <c r="E269" s="53"/>
      <c r="F269" s="52"/>
      <c r="G269" s="53"/>
      <c r="H269" s="63"/>
      <c r="I269" s="116"/>
      <c r="J269" s="144"/>
      <c r="K269" s="71"/>
      <c r="L269" s="53"/>
      <c r="M269" s="2"/>
      <c r="N269" s="1"/>
      <c r="O269" s="218">
        <f t="shared" si="6"/>
        <v>0</v>
      </c>
      <c r="P269" s="218">
        <f t="shared" si="7"/>
        <v>0</v>
      </c>
      <c r="Q269" s="60"/>
      <c r="R269" s="52"/>
      <c r="S269" s="66"/>
      <c r="T269" s="65"/>
      <c r="U269" s="68"/>
      <c r="V269" s="59"/>
      <c r="W269" s="6">
        <f>'CLIENT ENROLLMENT DISCHARGE '!M268</f>
        <v>0</v>
      </c>
      <c r="X269" s="76">
        <f>'CLIENT ENROLLMENT DISCHARGE '!L268</f>
        <v>0</v>
      </c>
      <c r="Y269" s="180"/>
    </row>
    <row r="270" spans="1:25" ht="50.1" customHeight="1" x14ac:dyDescent="0.25">
      <c r="A270" s="5">
        <v>255</v>
      </c>
      <c r="B270" s="10">
        <f>'CLIENT ENROLLMENT DISCHARGE '!B269</f>
        <v>0</v>
      </c>
      <c r="C270" s="4">
        <f>'CLIENT ENROLLMENT DISCHARGE '!C269</f>
        <v>0</v>
      </c>
      <c r="D270" s="51"/>
      <c r="E270" s="52"/>
      <c r="F270" s="51"/>
      <c r="G270" s="52"/>
      <c r="H270" s="62"/>
      <c r="I270" s="115"/>
      <c r="J270" s="143"/>
      <c r="K270" s="70"/>
      <c r="L270" s="52"/>
      <c r="M270" s="8"/>
      <c r="N270" s="7"/>
      <c r="O270" s="218">
        <f t="shared" si="6"/>
        <v>0</v>
      </c>
      <c r="P270" s="218">
        <f t="shared" si="7"/>
        <v>0</v>
      </c>
      <c r="Q270" s="59"/>
      <c r="R270" s="51"/>
      <c r="S270" s="65"/>
      <c r="T270" s="64"/>
      <c r="U270" s="67"/>
      <c r="V270" s="74"/>
      <c r="W270" s="6">
        <f>'CLIENT ENROLLMENT DISCHARGE '!M269</f>
        <v>0</v>
      </c>
      <c r="X270" s="76">
        <f>'CLIENT ENROLLMENT DISCHARGE '!L269</f>
        <v>0</v>
      </c>
      <c r="Y270" s="180"/>
    </row>
    <row r="271" spans="1:25" ht="50.1" customHeight="1" x14ac:dyDescent="0.25">
      <c r="A271" s="5">
        <v>256</v>
      </c>
      <c r="B271" s="10">
        <f>'CLIENT ENROLLMENT DISCHARGE '!B270</f>
        <v>0</v>
      </c>
      <c r="C271" s="4">
        <f>'CLIENT ENROLLMENT DISCHARGE '!C270</f>
        <v>0</v>
      </c>
      <c r="D271" s="52"/>
      <c r="E271" s="53"/>
      <c r="F271" s="52"/>
      <c r="G271" s="53"/>
      <c r="H271" s="63"/>
      <c r="I271" s="116"/>
      <c r="J271" s="144"/>
      <c r="K271" s="71"/>
      <c r="L271" s="53"/>
      <c r="M271" s="2"/>
      <c r="N271" s="1"/>
      <c r="O271" s="218">
        <f t="shared" si="6"/>
        <v>0</v>
      </c>
      <c r="P271" s="218">
        <f t="shared" si="7"/>
        <v>0</v>
      </c>
      <c r="Q271" s="60"/>
      <c r="R271" s="52"/>
      <c r="S271" s="66"/>
      <c r="T271" s="65"/>
      <c r="U271" s="68"/>
      <c r="V271" s="75"/>
      <c r="W271" s="6">
        <f>'CLIENT ENROLLMENT DISCHARGE '!M270</f>
        <v>0</v>
      </c>
      <c r="X271" s="76">
        <f>'CLIENT ENROLLMENT DISCHARGE '!L270</f>
        <v>0</v>
      </c>
      <c r="Y271" s="180"/>
    </row>
    <row r="272" spans="1:25" ht="50.1" customHeight="1" x14ac:dyDescent="0.25">
      <c r="A272" s="5">
        <v>257</v>
      </c>
      <c r="B272" s="10">
        <f>'CLIENT ENROLLMENT DISCHARGE '!B271</f>
        <v>0</v>
      </c>
      <c r="C272" s="4">
        <f>'CLIENT ENROLLMENT DISCHARGE '!C271</f>
        <v>0</v>
      </c>
      <c r="D272" s="51"/>
      <c r="E272" s="52"/>
      <c r="F272" s="51"/>
      <c r="G272" s="52"/>
      <c r="H272" s="62"/>
      <c r="I272" s="115"/>
      <c r="J272" s="143"/>
      <c r="K272" s="70"/>
      <c r="L272" s="52"/>
      <c r="M272" s="8"/>
      <c r="N272" s="7"/>
      <c r="O272" s="218">
        <f t="shared" si="6"/>
        <v>0</v>
      </c>
      <c r="P272" s="218">
        <f t="shared" si="7"/>
        <v>0</v>
      </c>
      <c r="Q272" s="59"/>
      <c r="R272" s="51"/>
      <c r="S272" s="65"/>
      <c r="T272" s="64"/>
      <c r="U272" s="67"/>
      <c r="V272" s="74"/>
      <c r="W272" s="6">
        <f>'CLIENT ENROLLMENT DISCHARGE '!M271</f>
        <v>0</v>
      </c>
      <c r="X272" s="76">
        <f>'CLIENT ENROLLMENT DISCHARGE '!L271</f>
        <v>0</v>
      </c>
      <c r="Y272" s="180"/>
    </row>
    <row r="273" spans="1:25" ht="50.1" customHeight="1" x14ac:dyDescent="0.25">
      <c r="A273" s="5">
        <v>258</v>
      </c>
      <c r="B273" s="10">
        <f>'CLIENT ENROLLMENT DISCHARGE '!B272</f>
        <v>0</v>
      </c>
      <c r="C273" s="4">
        <f>'CLIENT ENROLLMENT DISCHARGE '!C272</f>
        <v>0</v>
      </c>
      <c r="D273" s="52"/>
      <c r="E273" s="53"/>
      <c r="F273" s="52"/>
      <c r="G273" s="53"/>
      <c r="H273" s="63"/>
      <c r="I273" s="116"/>
      <c r="J273" s="144"/>
      <c r="K273" s="71"/>
      <c r="L273" s="53"/>
      <c r="M273" s="2"/>
      <c r="N273" s="1"/>
      <c r="O273" s="218">
        <f t="shared" ref="O273:O336" si="8">K273*N273</f>
        <v>0</v>
      </c>
      <c r="P273" s="218">
        <f t="shared" ref="P273:P336" si="9">O273</f>
        <v>0</v>
      </c>
      <c r="Q273" s="60"/>
      <c r="R273" s="52"/>
      <c r="S273" s="66"/>
      <c r="T273" s="65"/>
      <c r="U273" s="68"/>
      <c r="V273" s="59"/>
      <c r="W273" s="6">
        <f>'CLIENT ENROLLMENT DISCHARGE '!M272</f>
        <v>0</v>
      </c>
      <c r="X273" s="76">
        <f>'CLIENT ENROLLMENT DISCHARGE '!L272</f>
        <v>0</v>
      </c>
      <c r="Y273" s="180"/>
    </row>
    <row r="274" spans="1:25" ht="50.1" customHeight="1" x14ac:dyDescent="0.25">
      <c r="A274" s="5">
        <v>259</v>
      </c>
      <c r="B274" s="10">
        <f>'CLIENT ENROLLMENT DISCHARGE '!B273</f>
        <v>0</v>
      </c>
      <c r="C274" s="4">
        <f>'CLIENT ENROLLMENT DISCHARGE '!C273</f>
        <v>0</v>
      </c>
      <c r="D274" s="51"/>
      <c r="E274" s="52"/>
      <c r="F274" s="51"/>
      <c r="G274" s="52"/>
      <c r="H274" s="62"/>
      <c r="I274" s="115"/>
      <c r="J274" s="143"/>
      <c r="K274" s="70"/>
      <c r="L274" s="52"/>
      <c r="M274" s="8"/>
      <c r="N274" s="7"/>
      <c r="O274" s="218">
        <f t="shared" si="8"/>
        <v>0</v>
      </c>
      <c r="P274" s="218">
        <f t="shared" si="9"/>
        <v>0</v>
      </c>
      <c r="Q274" s="59"/>
      <c r="R274" s="51"/>
      <c r="S274" s="65"/>
      <c r="T274" s="64"/>
      <c r="U274" s="67"/>
      <c r="V274" s="74"/>
      <c r="W274" s="6">
        <f>'CLIENT ENROLLMENT DISCHARGE '!M273</f>
        <v>0</v>
      </c>
      <c r="X274" s="76">
        <f>'CLIENT ENROLLMENT DISCHARGE '!L273</f>
        <v>0</v>
      </c>
      <c r="Y274" s="180"/>
    </row>
    <row r="275" spans="1:25" ht="50.1" customHeight="1" x14ac:dyDescent="0.25">
      <c r="A275" s="5">
        <v>260</v>
      </c>
      <c r="B275" s="10">
        <f>'CLIENT ENROLLMENT DISCHARGE '!B274</f>
        <v>0</v>
      </c>
      <c r="C275" s="4">
        <f>'CLIENT ENROLLMENT DISCHARGE '!C274</f>
        <v>0</v>
      </c>
      <c r="D275" s="52"/>
      <c r="E275" s="53"/>
      <c r="F275" s="52"/>
      <c r="G275" s="53"/>
      <c r="H275" s="63"/>
      <c r="I275" s="116"/>
      <c r="J275" s="144"/>
      <c r="K275" s="71"/>
      <c r="L275" s="53"/>
      <c r="M275" s="2"/>
      <c r="N275" s="1"/>
      <c r="O275" s="218">
        <f t="shared" si="8"/>
        <v>0</v>
      </c>
      <c r="P275" s="218">
        <f t="shared" si="9"/>
        <v>0</v>
      </c>
      <c r="Q275" s="60"/>
      <c r="R275" s="52"/>
      <c r="S275" s="66"/>
      <c r="T275" s="65"/>
      <c r="U275" s="68"/>
      <c r="V275" s="59"/>
      <c r="W275" s="6">
        <f>'CLIENT ENROLLMENT DISCHARGE '!M274</f>
        <v>0</v>
      </c>
      <c r="X275" s="76">
        <f>'CLIENT ENROLLMENT DISCHARGE '!L274</f>
        <v>0</v>
      </c>
      <c r="Y275" s="180"/>
    </row>
    <row r="276" spans="1:25" ht="50.1" customHeight="1" x14ac:dyDescent="0.25">
      <c r="A276" s="5">
        <v>261</v>
      </c>
      <c r="B276" s="10">
        <f>'CLIENT ENROLLMENT DISCHARGE '!B275</f>
        <v>0</v>
      </c>
      <c r="C276" s="4">
        <f>'CLIENT ENROLLMENT DISCHARGE '!C275</f>
        <v>0</v>
      </c>
      <c r="D276" s="51"/>
      <c r="E276" s="52"/>
      <c r="F276" s="51"/>
      <c r="G276" s="52"/>
      <c r="H276" s="62"/>
      <c r="I276" s="115"/>
      <c r="J276" s="143"/>
      <c r="K276" s="70"/>
      <c r="L276" s="52"/>
      <c r="M276" s="8"/>
      <c r="N276" s="7"/>
      <c r="O276" s="218">
        <f t="shared" si="8"/>
        <v>0</v>
      </c>
      <c r="P276" s="218">
        <f t="shared" si="9"/>
        <v>0</v>
      </c>
      <c r="Q276" s="59"/>
      <c r="R276" s="51"/>
      <c r="S276" s="65"/>
      <c r="T276" s="64"/>
      <c r="U276" s="67"/>
      <c r="V276" s="74"/>
      <c r="W276" s="6">
        <f>'CLIENT ENROLLMENT DISCHARGE '!M275</f>
        <v>0</v>
      </c>
      <c r="X276" s="76">
        <f>'CLIENT ENROLLMENT DISCHARGE '!L275</f>
        <v>0</v>
      </c>
      <c r="Y276" s="180"/>
    </row>
    <row r="277" spans="1:25" ht="50.1" customHeight="1" x14ac:dyDescent="0.25">
      <c r="A277" s="5">
        <v>262</v>
      </c>
      <c r="B277" s="10">
        <f>'CLIENT ENROLLMENT DISCHARGE '!B276</f>
        <v>0</v>
      </c>
      <c r="C277" s="4">
        <f>'CLIENT ENROLLMENT DISCHARGE '!C276</f>
        <v>0</v>
      </c>
      <c r="D277" s="52"/>
      <c r="E277" s="53"/>
      <c r="F277" s="52"/>
      <c r="G277" s="53"/>
      <c r="H277" s="63"/>
      <c r="I277" s="116"/>
      <c r="J277" s="144"/>
      <c r="K277" s="71"/>
      <c r="L277" s="53"/>
      <c r="M277" s="2"/>
      <c r="N277" s="1"/>
      <c r="O277" s="218">
        <f t="shared" si="8"/>
        <v>0</v>
      </c>
      <c r="P277" s="218">
        <f t="shared" si="9"/>
        <v>0</v>
      </c>
      <c r="Q277" s="60"/>
      <c r="R277" s="52"/>
      <c r="S277" s="66"/>
      <c r="T277" s="65"/>
      <c r="U277" s="68"/>
      <c r="V277" s="59"/>
      <c r="W277" s="6">
        <f>'CLIENT ENROLLMENT DISCHARGE '!M276</f>
        <v>0</v>
      </c>
      <c r="X277" s="76">
        <f>'CLIENT ENROLLMENT DISCHARGE '!L276</f>
        <v>0</v>
      </c>
      <c r="Y277" s="180"/>
    </row>
    <row r="278" spans="1:25" ht="50.1" customHeight="1" x14ac:dyDescent="0.25">
      <c r="A278" s="5">
        <v>263</v>
      </c>
      <c r="B278" s="10">
        <f>'CLIENT ENROLLMENT DISCHARGE '!B277</f>
        <v>0</v>
      </c>
      <c r="C278" s="4">
        <f>'CLIENT ENROLLMENT DISCHARGE '!C277</f>
        <v>0</v>
      </c>
      <c r="D278" s="51"/>
      <c r="E278" s="52"/>
      <c r="F278" s="51"/>
      <c r="G278" s="52"/>
      <c r="H278" s="62"/>
      <c r="I278" s="115"/>
      <c r="J278" s="143"/>
      <c r="K278" s="70"/>
      <c r="L278" s="52"/>
      <c r="M278" s="8"/>
      <c r="N278" s="7"/>
      <c r="O278" s="218">
        <f t="shared" si="8"/>
        <v>0</v>
      </c>
      <c r="P278" s="218">
        <f t="shared" si="9"/>
        <v>0</v>
      </c>
      <c r="Q278" s="59"/>
      <c r="R278" s="51"/>
      <c r="S278" s="65"/>
      <c r="T278" s="64"/>
      <c r="U278" s="67"/>
      <c r="V278" s="74"/>
      <c r="W278" s="6">
        <f>'CLIENT ENROLLMENT DISCHARGE '!M277</f>
        <v>0</v>
      </c>
      <c r="X278" s="76">
        <f>'CLIENT ENROLLMENT DISCHARGE '!L277</f>
        <v>0</v>
      </c>
      <c r="Y278" s="180"/>
    </row>
    <row r="279" spans="1:25" ht="50.1" customHeight="1" x14ac:dyDescent="0.25">
      <c r="A279" s="5">
        <v>264</v>
      </c>
      <c r="B279" s="10">
        <f>'CLIENT ENROLLMENT DISCHARGE '!B278</f>
        <v>0</v>
      </c>
      <c r="C279" s="4">
        <f>'CLIENT ENROLLMENT DISCHARGE '!C278</f>
        <v>0</v>
      </c>
      <c r="D279" s="52"/>
      <c r="E279" s="53"/>
      <c r="F279" s="52"/>
      <c r="G279" s="53"/>
      <c r="H279" s="63"/>
      <c r="I279" s="116"/>
      <c r="J279" s="144"/>
      <c r="K279" s="71"/>
      <c r="L279" s="53"/>
      <c r="M279" s="2"/>
      <c r="N279" s="1"/>
      <c r="O279" s="218">
        <f t="shared" si="8"/>
        <v>0</v>
      </c>
      <c r="P279" s="218">
        <f t="shared" si="9"/>
        <v>0</v>
      </c>
      <c r="Q279" s="60"/>
      <c r="R279" s="52"/>
      <c r="S279" s="66"/>
      <c r="T279" s="65"/>
      <c r="U279" s="68"/>
      <c r="V279" s="59"/>
      <c r="W279" s="6">
        <f>'CLIENT ENROLLMENT DISCHARGE '!M278</f>
        <v>0</v>
      </c>
      <c r="X279" s="76">
        <f>'CLIENT ENROLLMENT DISCHARGE '!L278</f>
        <v>0</v>
      </c>
      <c r="Y279" s="180"/>
    </row>
    <row r="280" spans="1:25" ht="50.1" customHeight="1" x14ac:dyDescent="0.25">
      <c r="A280" s="5">
        <v>265</v>
      </c>
      <c r="B280" s="10">
        <f>'CLIENT ENROLLMENT DISCHARGE '!B279</f>
        <v>0</v>
      </c>
      <c r="C280" s="4">
        <f>'CLIENT ENROLLMENT DISCHARGE '!C279</f>
        <v>0</v>
      </c>
      <c r="D280" s="51"/>
      <c r="E280" s="52"/>
      <c r="F280" s="51"/>
      <c r="G280" s="52"/>
      <c r="H280" s="62"/>
      <c r="I280" s="115"/>
      <c r="J280" s="143"/>
      <c r="K280" s="70"/>
      <c r="L280" s="52"/>
      <c r="M280" s="8"/>
      <c r="N280" s="7"/>
      <c r="O280" s="218">
        <f t="shared" si="8"/>
        <v>0</v>
      </c>
      <c r="P280" s="218">
        <f t="shared" si="9"/>
        <v>0</v>
      </c>
      <c r="Q280" s="59"/>
      <c r="R280" s="51"/>
      <c r="S280" s="65"/>
      <c r="T280" s="64"/>
      <c r="U280" s="67"/>
      <c r="V280" s="74"/>
      <c r="W280" s="6">
        <f>'CLIENT ENROLLMENT DISCHARGE '!M279</f>
        <v>0</v>
      </c>
      <c r="X280" s="76">
        <f>'CLIENT ENROLLMENT DISCHARGE '!L279</f>
        <v>0</v>
      </c>
      <c r="Y280" s="180"/>
    </row>
    <row r="281" spans="1:25" ht="50.1" customHeight="1" x14ac:dyDescent="0.25">
      <c r="A281" s="5">
        <v>266</v>
      </c>
      <c r="B281" s="10">
        <f>'CLIENT ENROLLMENT DISCHARGE '!B280</f>
        <v>0</v>
      </c>
      <c r="C281" s="4">
        <f>'CLIENT ENROLLMENT DISCHARGE '!C280</f>
        <v>0</v>
      </c>
      <c r="D281" s="52"/>
      <c r="E281" s="53"/>
      <c r="F281" s="52"/>
      <c r="G281" s="53"/>
      <c r="H281" s="63"/>
      <c r="I281" s="116"/>
      <c r="J281" s="3"/>
      <c r="K281" s="71"/>
      <c r="L281" s="53"/>
      <c r="M281" s="2"/>
      <c r="N281" s="1"/>
      <c r="O281" s="218">
        <f t="shared" si="8"/>
        <v>0</v>
      </c>
      <c r="P281" s="218">
        <f t="shared" si="9"/>
        <v>0</v>
      </c>
      <c r="Q281" s="60"/>
      <c r="R281" s="52"/>
      <c r="S281" s="66"/>
      <c r="T281" s="65"/>
      <c r="U281" s="68"/>
      <c r="V281" s="75"/>
      <c r="W281" s="6">
        <f>'CLIENT ENROLLMENT DISCHARGE '!M280</f>
        <v>0</v>
      </c>
      <c r="X281" s="76">
        <f>'CLIENT ENROLLMENT DISCHARGE '!L280</f>
        <v>0</v>
      </c>
      <c r="Y281" s="180"/>
    </row>
    <row r="282" spans="1:25" ht="50.1" customHeight="1" x14ac:dyDescent="0.25">
      <c r="A282" s="5">
        <v>267</v>
      </c>
      <c r="B282" s="10">
        <f>'CLIENT ENROLLMENT DISCHARGE '!B281</f>
        <v>0</v>
      </c>
      <c r="C282" s="4">
        <f>'CLIENT ENROLLMENT DISCHARGE '!C281</f>
        <v>0</v>
      </c>
      <c r="D282" s="51"/>
      <c r="E282" s="52"/>
      <c r="F282" s="51"/>
      <c r="G282" s="52"/>
      <c r="H282" s="62"/>
      <c r="I282" s="115"/>
      <c r="J282" s="143"/>
      <c r="K282" s="70"/>
      <c r="L282" s="52"/>
      <c r="M282" s="8"/>
      <c r="N282" s="7"/>
      <c r="O282" s="218">
        <f t="shared" si="8"/>
        <v>0</v>
      </c>
      <c r="P282" s="218">
        <f t="shared" si="9"/>
        <v>0</v>
      </c>
      <c r="Q282" s="59"/>
      <c r="R282" s="51"/>
      <c r="S282" s="65"/>
      <c r="T282" s="64"/>
      <c r="U282" s="67"/>
      <c r="V282" s="74"/>
      <c r="W282" s="6">
        <f>'CLIENT ENROLLMENT DISCHARGE '!M281</f>
        <v>0</v>
      </c>
      <c r="X282" s="76">
        <f>'CLIENT ENROLLMENT DISCHARGE '!L281</f>
        <v>0</v>
      </c>
      <c r="Y282" s="180"/>
    </row>
    <row r="283" spans="1:25" ht="50.1" customHeight="1" x14ac:dyDescent="0.25">
      <c r="A283" s="5">
        <v>268</v>
      </c>
      <c r="B283" s="10">
        <f>'CLIENT ENROLLMENT DISCHARGE '!B282</f>
        <v>0</v>
      </c>
      <c r="C283" s="4">
        <f>'CLIENT ENROLLMENT DISCHARGE '!C282</f>
        <v>0</v>
      </c>
      <c r="D283" s="52"/>
      <c r="E283" s="53"/>
      <c r="F283" s="52"/>
      <c r="G283" s="53"/>
      <c r="H283" s="63"/>
      <c r="I283" s="116"/>
      <c r="J283" s="144"/>
      <c r="K283" s="71"/>
      <c r="L283" s="53"/>
      <c r="M283" s="2"/>
      <c r="N283" s="1"/>
      <c r="O283" s="218">
        <f t="shared" si="8"/>
        <v>0</v>
      </c>
      <c r="P283" s="218">
        <f t="shared" si="9"/>
        <v>0</v>
      </c>
      <c r="Q283" s="60"/>
      <c r="R283" s="52"/>
      <c r="S283" s="66"/>
      <c r="T283" s="65"/>
      <c r="U283" s="68"/>
      <c r="V283" s="59"/>
      <c r="W283" s="6">
        <f>'CLIENT ENROLLMENT DISCHARGE '!M282</f>
        <v>0</v>
      </c>
      <c r="X283" s="76">
        <f>'CLIENT ENROLLMENT DISCHARGE '!L282</f>
        <v>0</v>
      </c>
      <c r="Y283" s="180"/>
    </row>
    <row r="284" spans="1:25" ht="50.1" customHeight="1" x14ac:dyDescent="0.25">
      <c r="A284" s="5">
        <v>269</v>
      </c>
      <c r="B284" s="10">
        <f>'CLIENT ENROLLMENT DISCHARGE '!B283</f>
        <v>0</v>
      </c>
      <c r="C284" s="4">
        <f>'CLIENT ENROLLMENT DISCHARGE '!C283</f>
        <v>0</v>
      </c>
      <c r="D284" s="51"/>
      <c r="E284" s="52"/>
      <c r="F284" s="51"/>
      <c r="G284" s="52"/>
      <c r="H284" s="62"/>
      <c r="I284" s="115"/>
      <c r="J284" s="143"/>
      <c r="K284" s="70"/>
      <c r="L284" s="52"/>
      <c r="M284" s="8"/>
      <c r="N284" s="7"/>
      <c r="O284" s="218">
        <f t="shared" si="8"/>
        <v>0</v>
      </c>
      <c r="P284" s="218">
        <f t="shared" si="9"/>
        <v>0</v>
      </c>
      <c r="Q284" s="59"/>
      <c r="R284" s="51"/>
      <c r="S284" s="65"/>
      <c r="T284" s="64"/>
      <c r="U284" s="67"/>
      <c r="V284" s="74"/>
      <c r="W284" s="6">
        <f>'CLIENT ENROLLMENT DISCHARGE '!M283</f>
        <v>0</v>
      </c>
      <c r="X284" s="76">
        <f>'CLIENT ENROLLMENT DISCHARGE '!L283</f>
        <v>0</v>
      </c>
      <c r="Y284" s="180"/>
    </row>
    <row r="285" spans="1:25" ht="50.1" customHeight="1" x14ac:dyDescent="0.25">
      <c r="A285" s="5">
        <v>270</v>
      </c>
      <c r="B285" s="10">
        <f>'CLIENT ENROLLMENT DISCHARGE '!B284</f>
        <v>0</v>
      </c>
      <c r="C285" s="4">
        <f>'CLIENT ENROLLMENT DISCHARGE '!C284</f>
        <v>0</v>
      </c>
      <c r="D285" s="52"/>
      <c r="E285" s="53"/>
      <c r="F285" s="52"/>
      <c r="G285" s="53"/>
      <c r="H285" s="63"/>
      <c r="I285" s="116"/>
      <c r="J285" s="144"/>
      <c r="K285" s="71"/>
      <c r="L285" s="53"/>
      <c r="M285" s="2"/>
      <c r="N285" s="1"/>
      <c r="O285" s="218">
        <f t="shared" si="8"/>
        <v>0</v>
      </c>
      <c r="P285" s="218">
        <f t="shared" si="9"/>
        <v>0</v>
      </c>
      <c r="Q285" s="60"/>
      <c r="R285" s="52"/>
      <c r="S285" s="66"/>
      <c r="T285" s="65"/>
      <c r="U285" s="68"/>
      <c r="V285" s="59"/>
      <c r="W285" s="6">
        <f>'CLIENT ENROLLMENT DISCHARGE '!M284</f>
        <v>0</v>
      </c>
      <c r="X285" s="76">
        <f>'CLIENT ENROLLMENT DISCHARGE '!L284</f>
        <v>0</v>
      </c>
      <c r="Y285" s="180"/>
    </row>
    <row r="286" spans="1:25" ht="50.1" customHeight="1" x14ac:dyDescent="0.25">
      <c r="A286" s="5">
        <v>271</v>
      </c>
      <c r="B286" s="10">
        <f>'CLIENT ENROLLMENT DISCHARGE '!B285</f>
        <v>0</v>
      </c>
      <c r="C286" s="4">
        <f>'CLIENT ENROLLMENT DISCHARGE '!C285</f>
        <v>0</v>
      </c>
      <c r="D286" s="51"/>
      <c r="E286" s="52"/>
      <c r="F286" s="51"/>
      <c r="G286" s="52"/>
      <c r="H286" s="62"/>
      <c r="I286" s="115"/>
      <c r="J286" s="143"/>
      <c r="K286" s="70"/>
      <c r="L286" s="52"/>
      <c r="M286" s="8"/>
      <c r="N286" s="7"/>
      <c r="O286" s="218">
        <f t="shared" si="8"/>
        <v>0</v>
      </c>
      <c r="P286" s="218">
        <f t="shared" si="9"/>
        <v>0</v>
      </c>
      <c r="Q286" s="59"/>
      <c r="R286" s="51"/>
      <c r="S286" s="65"/>
      <c r="T286" s="64"/>
      <c r="U286" s="67"/>
      <c r="V286" s="74"/>
      <c r="W286" s="6">
        <f>'CLIENT ENROLLMENT DISCHARGE '!M285</f>
        <v>0</v>
      </c>
      <c r="X286" s="76">
        <f>'CLIENT ENROLLMENT DISCHARGE '!L285</f>
        <v>0</v>
      </c>
      <c r="Y286" s="180"/>
    </row>
    <row r="287" spans="1:25" ht="50.1" customHeight="1" x14ac:dyDescent="0.25">
      <c r="A287" s="5">
        <v>272</v>
      </c>
      <c r="B287" s="10">
        <f>'CLIENT ENROLLMENT DISCHARGE '!B286</f>
        <v>0</v>
      </c>
      <c r="C287" s="4">
        <f>'CLIENT ENROLLMENT DISCHARGE '!C286</f>
        <v>0</v>
      </c>
      <c r="D287" s="52"/>
      <c r="E287" s="53"/>
      <c r="F287" s="52"/>
      <c r="G287" s="53"/>
      <c r="H287" s="63"/>
      <c r="I287" s="116"/>
      <c r="J287" s="144"/>
      <c r="K287" s="71"/>
      <c r="L287" s="53"/>
      <c r="M287" s="2"/>
      <c r="N287" s="1"/>
      <c r="O287" s="218">
        <f t="shared" si="8"/>
        <v>0</v>
      </c>
      <c r="P287" s="218">
        <f t="shared" si="9"/>
        <v>0</v>
      </c>
      <c r="Q287" s="60"/>
      <c r="R287" s="52"/>
      <c r="S287" s="66"/>
      <c r="T287" s="65"/>
      <c r="U287" s="68"/>
      <c r="V287" s="59"/>
      <c r="W287" s="6">
        <f>'CLIENT ENROLLMENT DISCHARGE '!M286</f>
        <v>0</v>
      </c>
      <c r="X287" s="76">
        <f>'CLIENT ENROLLMENT DISCHARGE '!L286</f>
        <v>0</v>
      </c>
      <c r="Y287" s="180"/>
    </row>
    <row r="288" spans="1:25" ht="50.1" customHeight="1" x14ac:dyDescent="0.25">
      <c r="A288" s="5">
        <v>272</v>
      </c>
      <c r="B288" s="10">
        <f>'CLIENT ENROLLMENT DISCHARGE '!B287</f>
        <v>0</v>
      </c>
      <c r="C288" s="4">
        <f>'CLIENT ENROLLMENT DISCHARGE '!C287</f>
        <v>0</v>
      </c>
      <c r="D288" s="51"/>
      <c r="E288" s="52"/>
      <c r="F288" s="51"/>
      <c r="G288" s="52"/>
      <c r="H288" s="62"/>
      <c r="I288" s="115"/>
      <c r="J288" s="143"/>
      <c r="K288" s="70"/>
      <c r="L288" s="52"/>
      <c r="M288" s="8"/>
      <c r="N288" s="7"/>
      <c r="O288" s="218">
        <f t="shared" si="8"/>
        <v>0</v>
      </c>
      <c r="P288" s="218">
        <f t="shared" si="9"/>
        <v>0</v>
      </c>
      <c r="Q288" s="59"/>
      <c r="R288" s="51"/>
      <c r="S288" s="65"/>
      <c r="T288" s="64"/>
      <c r="U288" s="67"/>
      <c r="V288" s="74"/>
      <c r="W288" s="6">
        <f>'CLIENT ENROLLMENT DISCHARGE '!M287</f>
        <v>0</v>
      </c>
      <c r="X288" s="76">
        <f>'CLIENT ENROLLMENT DISCHARGE '!L287</f>
        <v>0</v>
      </c>
      <c r="Y288" s="180"/>
    </row>
    <row r="289" spans="1:25" ht="50.1" customHeight="1" x14ac:dyDescent="0.25">
      <c r="A289" s="5">
        <v>274</v>
      </c>
      <c r="B289" s="10">
        <f>'CLIENT ENROLLMENT DISCHARGE '!B288</f>
        <v>0</v>
      </c>
      <c r="C289" s="4">
        <f>'CLIENT ENROLLMENT DISCHARGE '!C288</f>
        <v>0</v>
      </c>
      <c r="D289" s="52"/>
      <c r="E289" s="53"/>
      <c r="F289" s="52"/>
      <c r="G289" s="53"/>
      <c r="H289" s="63"/>
      <c r="I289" s="116"/>
      <c r="J289" s="144"/>
      <c r="K289" s="71"/>
      <c r="L289" s="53"/>
      <c r="M289" s="2"/>
      <c r="N289" s="1"/>
      <c r="O289" s="218">
        <f t="shared" si="8"/>
        <v>0</v>
      </c>
      <c r="P289" s="218">
        <f t="shared" si="9"/>
        <v>0</v>
      </c>
      <c r="Q289" s="60"/>
      <c r="R289" s="52"/>
      <c r="S289" s="66"/>
      <c r="T289" s="65"/>
      <c r="U289" s="68"/>
      <c r="V289" s="59"/>
      <c r="W289" s="6">
        <f>'CLIENT ENROLLMENT DISCHARGE '!M288</f>
        <v>0</v>
      </c>
      <c r="X289" s="76">
        <f>'CLIENT ENROLLMENT DISCHARGE '!L288</f>
        <v>0</v>
      </c>
      <c r="Y289" s="180"/>
    </row>
    <row r="290" spans="1:25" ht="50.1" customHeight="1" x14ac:dyDescent="0.25">
      <c r="A290" s="5">
        <v>275</v>
      </c>
      <c r="B290" s="10">
        <f>'CLIENT ENROLLMENT DISCHARGE '!B289</f>
        <v>0</v>
      </c>
      <c r="C290" s="4">
        <f>'CLIENT ENROLLMENT DISCHARGE '!C289</f>
        <v>0</v>
      </c>
      <c r="D290" s="51"/>
      <c r="E290" s="52"/>
      <c r="F290" s="51"/>
      <c r="G290" s="52"/>
      <c r="H290" s="62"/>
      <c r="I290" s="115"/>
      <c r="J290" s="143"/>
      <c r="K290" s="70"/>
      <c r="L290" s="52"/>
      <c r="M290" s="8"/>
      <c r="N290" s="7"/>
      <c r="O290" s="218">
        <f t="shared" si="8"/>
        <v>0</v>
      </c>
      <c r="P290" s="218">
        <f t="shared" si="9"/>
        <v>0</v>
      </c>
      <c r="Q290" s="59"/>
      <c r="R290" s="51"/>
      <c r="S290" s="65"/>
      <c r="T290" s="64"/>
      <c r="U290" s="67"/>
      <c r="V290" s="74"/>
      <c r="W290" s="6">
        <f>'CLIENT ENROLLMENT DISCHARGE '!M289</f>
        <v>0</v>
      </c>
      <c r="X290" s="76">
        <f>'CLIENT ENROLLMENT DISCHARGE '!L289</f>
        <v>0</v>
      </c>
      <c r="Y290" s="180"/>
    </row>
    <row r="291" spans="1:25" ht="50.1" customHeight="1" x14ac:dyDescent="0.25">
      <c r="A291" s="5">
        <v>276</v>
      </c>
      <c r="B291" s="10">
        <f>'CLIENT ENROLLMENT DISCHARGE '!B290</f>
        <v>0</v>
      </c>
      <c r="C291" s="4">
        <f>'CLIENT ENROLLMENT DISCHARGE '!C290</f>
        <v>0</v>
      </c>
      <c r="D291" s="52"/>
      <c r="E291" s="53"/>
      <c r="F291" s="52"/>
      <c r="G291" s="53"/>
      <c r="H291" s="63"/>
      <c r="I291" s="116"/>
      <c r="J291" s="144"/>
      <c r="K291" s="71"/>
      <c r="L291" s="53"/>
      <c r="M291" s="2"/>
      <c r="N291" s="1"/>
      <c r="O291" s="218">
        <f t="shared" si="8"/>
        <v>0</v>
      </c>
      <c r="P291" s="218">
        <f t="shared" si="9"/>
        <v>0</v>
      </c>
      <c r="Q291" s="60"/>
      <c r="R291" s="52"/>
      <c r="S291" s="66"/>
      <c r="T291" s="65"/>
      <c r="U291" s="68"/>
      <c r="V291" s="75"/>
      <c r="W291" s="6">
        <f>'CLIENT ENROLLMENT DISCHARGE '!M290</f>
        <v>0</v>
      </c>
      <c r="X291" s="76">
        <f>'CLIENT ENROLLMENT DISCHARGE '!L290</f>
        <v>0</v>
      </c>
      <c r="Y291" s="180"/>
    </row>
    <row r="292" spans="1:25" ht="50.1" customHeight="1" x14ac:dyDescent="0.25">
      <c r="A292" s="5">
        <v>277</v>
      </c>
      <c r="B292" s="10">
        <f>'CLIENT ENROLLMENT DISCHARGE '!B291</f>
        <v>0</v>
      </c>
      <c r="C292" s="4">
        <f>'CLIENT ENROLLMENT DISCHARGE '!C291</f>
        <v>0</v>
      </c>
      <c r="D292" s="51"/>
      <c r="E292" s="52"/>
      <c r="F292" s="51"/>
      <c r="G292" s="52"/>
      <c r="H292" s="62"/>
      <c r="I292" s="115"/>
      <c r="J292" s="143"/>
      <c r="K292" s="70"/>
      <c r="L292" s="52"/>
      <c r="M292" s="8"/>
      <c r="N292" s="7"/>
      <c r="O292" s="218">
        <f t="shared" si="8"/>
        <v>0</v>
      </c>
      <c r="P292" s="218">
        <f t="shared" si="9"/>
        <v>0</v>
      </c>
      <c r="Q292" s="59"/>
      <c r="R292" s="51"/>
      <c r="S292" s="65"/>
      <c r="T292" s="64"/>
      <c r="U292" s="67"/>
      <c r="V292" s="74"/>
      <c r="W292" s="6">
        <f>'CLIENT ENROLLMENT DISCHARGE '!M291</f>
        <v>0</v>
      </c>
      <c r="X292" s="76">
        <f>'CLIENT ENROLLMENT DISCHARGE '!L291</f>
        <v>0</v>
      </c>
      <c r="Y292" s="180"/>
    </row>
    <row r="293" spans="1:25" ht="50.1" customHeight="1" x14ac:dyDescent="0.25">
      <c r="A293" s="5">
        <v>278</v>
      </c>
      <c r="B293" s="10">
        <f>'CLIENT ENROLLMENT DISCHARGE '!B292</f>
        <v>0</v>
      </c>
      <c r="C293" s="4">
        <f>'CLIENT ENROLLMENT DISCHARGE '!C292</f>
        <v>0</v>
      </c>
      <c r="D293" s="52"/>
      <c r="E293" s="53"/>
      <c r="F293" s="52"/>
      <c r="G293" s="53"/>
      <c r="H293" s="63"/>
      <c r="I293" s="116"/>
      <c r="J293" s="144"/>
      <c r="K293" s="71"/>
      <c r="L293" s="53"/>
      <c r="M293" s="2"/>
      <c r="N293" s="1"/>
      <c r="O293" s="218">
        <f t="shared" si="8"/>
        <v>0</v>
      </c>
      <c r="P293" s="218">
        <f t="shared" si="9"/>
        <v>0</v>
      </c>
      <c r="Q293" s="60"/>
      <c r="R293" s="52"/>
      <c r="S293" s="66"/>
      <c r="T293" s="65"/>
      <c r="U293" s="68"/>
      <c r="V293" s="59"/>
      <c r="W293" s="6">
        <f>'CLIENT ENROLLMENT DISCHARGE '!M292</f>
        <v>0</v>
      </c>
      <c r="X293" s="76">
        <f>'CLIENT ENROLLMENT DISCHARGE '!L292</f>
        <v>0</v>
      </c>
      <c r="Y293" s="180"/>
    </row>
    <row r="294" spans="1:25" ht="50.1" customHeight="1" x14ac:dyDescent="0.25">
      <c r="A294" s="5">
        <v>279</v>
      </c>
      <c r="B294" s="10">
        <f>'CLIENT ENROLLMENT DISCHARGE '!B293</f>
        <v>0</v>
      </c>
      <c r="C294" s="4">
        <f>'CLIENT ENROLLMENT DISCHARGE '!C293</f>
        <v>0</v>
      </c>
      <c r="D294" s="51"/>
      <c r="E294" s="52"/>
      <c r="F294" s="51"/>
      <c r="G294" s="52"/>
      <c r="H294" s="62"/>
      <c r="I294" s="115"/>
      <c r="J294" s="143"/>
      <c r="K294" s="70"/>
      <c r="L294" s="52"/>
      <c r="M294" s="8"/>
      <c r="N294" s="7"/>
      <c r="O294" s="218">
        <f t="shared" si="8"/>
        <v>0</v>
      </c>
      <c r="P294" s="218">
        <f t="shared" si="9"/>
        <v>0</v>
      </c>
      <c r="Q294" s="59"/>
      <c r="R294" s="51"/>
      <c r="S294" s="65"/>
      <c r="T294" s="64"/>
      <c r="U294" s="67"/>
      <c r="V294" s="74"/>
      <c r="W294" s="6">
        <f>'CLIENT ENROLLMENT DISCHARGE '!M293</f>
        <v>0</v>
      </c>
      <c r="X294" s="76">
        <f>'CLIENT ENROLLMENT DISCHARGE '!L293</f>
        <v>0</v>
      </c>
      <c r="Y294" s="180"/>
    </row>
    <row r="295" spans="1:25" ht="50.1" customHeight="1" x14ac:dyDescent="0.25">
      <c r="A295" s="5">
        <v>280</v>
      </c>
      <c r="B295" s="10">
        <f>'CLIENT ENROLLMENT DISCHARGE '!B294</f>
        <v>0</v>
      </c>
      <c r="C295" s="4">
        <f>'CLIENT ENROLLMENT DISCHARGE '!C294</f>
        <v>0</v>
      </c>
      <c r="D295" s="52"/>
      <c r="E295" s="53"/>
      <c r="F295" s="52"/>
      <c r="G295" s="53"/>
      <c r="H295" s="63"/>
      <c r="I295" s="116"/>
      <c r="J295" s="144"/>
      <c r="K295" s="71"/>
      <c r="L295" s="53"/>
      <c r="M295" s="2"/>
      <c r="N295" s="1"/>
      <c r="O295" s="218">
        <f t="shared" si="8"/>
        <v>0</v>
      </c>
      <c r="P295" s="218">
        <f t="shared" si="9"/>
        <v>0</v>
      </c>
      <c r="Q295" s="60"/>
      <c r="R295" s="52"/>
      <c r="S295" s="66"/>
      <c r="T295" s="65"/>
      <c r="U295" s="68"/>
      <c r="V295" s="59"/>
      <c r="W295" s="6">
        <f>'CLIENT ENROLLMENT DISCHARGE '!M294</f>
        <v>0</v>
      </c>
      <c r="X295" s="76">
        <f>'CLIENT ENROLLMENT DISCHARGE '!L294</f>
        <v>0</v>
      </c>
      <c r="Y295" s="180"/>
    </row>
    <row r="296" spans="1:25" ht="50.1" customHeight="1" x14ac:dyDescent="0.25">
      <c r="A296" s="5">
        <v>281</v>
      </c>
      <c r="B296" s="10">
        <f>'CLIENT ENROLLMENT DISCHARGE '!B295</f>
        <v>0</v>
      </c>
      <c r="C296" s="4">
        <f>'CLIENT ENROLLMENT DISCHARGE '!C295</f>
        <v>0</v>
      </c>
      <c r="D296" s="51"/>
      <c r="E296" s="52"/>
      <c r="F296" s="51"/>
      <c r="G296" s="52"/>
      <c r="H296" s="62"/>
      <c r="I296" s="115"/>
      <c r="J296" s="143"/>
      <c r="K296" s="70"/>
      <c r="L296" s="52"/>
      <c r="M296" s="8"/>
      <c r="N296" s="7"/>
      <c r="O296" s="218">
        <f t="shared" si="8"/>
        <v>0</v>
      </c>
      <c r="P296" s="218">
        <f t="shared" si="9"/>
        <v>0</v>
      </c>
      <c r="Q296" s="59"/>
      <c r="R296" s="51"/>
      <c r="S296" s="65"/>
      <c r="T296" s="64"/>
      <c r="U296" s="67"/>
      <c r="V296" s="74"/>
      <c r="W296" s="6">
        <f>'CLIENT ENROLLMENT DISCHARGE '!M295</f>
        <v>0</v>
      </c>
      <c r="X296" s="76">
        <f>'CLIENT ENROLLMENT DISCHARGE '!L295</f>
        <v>0</v>
      </c>
      <c r="Y296" s="180"/>
    </row>
    <row r="297" spans="1:25" ht="50.1" customHeight="1" x14ac:dyDescent="0.25">
      <c r="A297" s="5">
        <v>282</v>
      </c>
      <c r="B297" s="10">
        <f>'CLIENT ENROLLMENT DISCHARGE '!B296</f>
        <v>0</v>
      </c>
      <c r="C297" s="4">
        <f>'CLIENT ENROLLMENT DISCHARGE '!C296</f>
        <v>0</v>
      </c>
      <c r="D297" s="52"/>
      <c r="E297" s="53"/>
      <c r="F297" s="52"/>
      <c r="G297" s="53"/>
      <c r="H297" s="63"/>
      <c r="I297" s="116"/>
      <c r="J297" s="144"/>
      <c r="K297" s="71"/>
      <c r="L297" s="53"/>
      <c r="M297" s="2"/>
      <c r="N297" s="1"/>
      <c r="O297" s="218">
        <f t="shared" si="8"/>
        <v>0</v>
      </c>
      <c r="P297" s="218">
        <f t="shared" si="9"/>
        <v>0</v>
      </c>
      <c r="Q297" s="60"/>
      <c r="R297" s="52"/>
      <c r="S297" s="66"/>
      <c r="T297" s="65"/>
      <c r="U297" s="68"/>
      <c r="V297" s="59"/>
      <c r="W297" s="6">
        <f>'CLIENT ENROLLMENT DISCHARGE '!M296</f>
        <v>0</v>
      </c>
      <c r="X297" s="76">
        <f>'CLIENT ENROLLMENT DISCHARGE '!L296</f>
        <v>0</v>
      </c>
      <c r="Y297" s="180"/>
    </row>
    <row r="298" spans="1:25" ht="50.1" customHeight="1" x14ac:dyDescent="0.25">
      <c r="A298" s="5">
        <v>283</v>
      </c>
      <c r="B298" s="10">
        <f>'CLIENT ENROLLMENT DISCHARGE '!B297</f>
        <v>0</v>
      </c>
      <c r="C298" s="4">
        <f>'CLIENT ENROLLMENT DISCHARGE '!C297</f>
        <v>0</v>
      </c>
      <c r="D298" s="51"/>
      <c r="E298" s="52"/>
      <c r="F298" s="51"/>
      <c r="G298" s="52"/>
      <c r="H298" s="62"/>
      <c r="I298" s="115"/>
      <c r="J298" s="143"/>
      <c r="K298" s="70"/>
      <c r="L298" s="52"/>
      <c r="M298" s="8"/>
      <c r="N298" s="7"/>
      <c r="O298" s="218">
        <f t="shared" si="8"/>
        <v>0</v>
      </c>
      <c r="P298" s="218">
        <f t="shared" si="9"/>
        <v>0</v>
      </c>
      <c r="Q298" s="59"/>
      <c r="R298" s="51"/>
      <c r="S298" s="65"/>
      <c r="T298" s="64"/>
      <c r="U298" s="67"/>
      <c r="V298" s="74"/>
      <c r="W298" s="6">
        <f>'CLIENT ENROLLMENT DISCHARGE '!M297</f>
        <v>0</v>
      </c>
      <c r="X298" s="76">
        <f>'CLIENT ENROLLMENT DISCHARGE '!L297</f>
        <v>0</v>
      </c>
      <c r="Y298" s="180"/>
    </row>
    <row r="299" spans="1:25" ht="50.1" customHeight="1" x14ac:dyDescent="0.25">
      <c r="A299" s="5">
        <v>284</v>
      </c>
      <c r="B299" s="10">
        <f>'CLIENT ENROLLMENT DISCHARGE '!B298</f>
        <v>0</v>
      </c>
      <c r="C299" s="4">
        <f>'CLIENT ENROLLMENT DISCHARGE '!C298</f>
        <v>0</v>
      </c>
      <c r="D299" s="52"/>
      <c r="E299" s="53"/>
      <c r="F299" s="52"/>
      <c r="G299" s="53"/>
      <c r="H299" s="63"/>
      <c r="I299" s="116"/>
      <c r="J299" s="144"/>
      <c r="K299" s="71"/>
      <c r="L299" s="53"/>
      <c r="M299" s="2"/>
      <c r="N299" s="1"/>
      <c r="O299" s="218">
        <f t="shared" si="8"/>
        <v>0</v>
      </c>
      <c r="P299" s="218">
        <f t="shared" si="9"/>
        <v>0</v>
      </c>
      <c r="Q299" s="60"/>
      <c r="R299" s="52"/>
      <c r="S299" s="66"/>
      <c r="T299" s="65"/>
      <c r="U299" s="68"/>
      <c r="V299" s="59"/>
      <c r="W299" s="6">
        <f>'CLIENT ENROLLMENT DISCHARGE '!M298</f>
        <v>0</v>
      </c>
      <c r="X299" s="76">
        <f>'CLIENT ENROLLMENT DISCHARGE '!L298</f>
        <v>0</v>
      </c>
      <c r="Y299" s="180"/>
    </row>
    <row r="300" spans="1:25" ht="50.1" customHeight="1" x14ac:dyDescent="0.25">
      <c r="A300" s="5">
        <v>285</v>
      </c>
      <c r="B300" s="10">
        <f>'CLIENT ENROLLMENT DISCHARGE '!B299</f>
        <v>0</v>
      </c>
      <c r="C300" s="4">
        <f>'CLIENT ENROLLMENT DISCHARGE '!C299</f>
        <v>0</v>
      </c>
      <c r="D300" s="51"/>
      <c r="E300" s="52"/>
      <c r="F300" s="51"/>
      <c r="G300" s="52"/>
      <c r="H300" s="62"/>
      <c r="I300" s="115"/>
      <c r="J300" s="143"/>
      <c r="K300" s="70"/>
      <c r="L300" s="52"/>
      <c r="M300" s="8"/>
      <c r="N300" s="7"/>
      <c r="O300" s="218">
        <f t="shared" si="8"/>
        <v>0</v>
      </c>
      <c r="P300" s="218">
        <f t="shared" si="9"/>
        <v>0</v>
      </c>
      <c r="Q300" s="59"/>
      <c r="R300" s="51"/>
      <c r="S300" s="65"/>
      <c r="T300" s="64"/>
      <c r="U300" s="67"/>
      <c r="V300" s="74"/>
      <c r="W300" s="6">
        <f>'CLIENT ENROLLMENT DISCHARGE '!M299</f>
        <v>0</v>
      </c>
      <c r="X300" s="76">
        <f>'CLIENT ENROLLMENT DISCHARGE '!L299</f>
        <v>0</v>
      </c>
      <c r="Y300" s="180"/>
    </row>
    <row r="301" spans="1:25" ht="50.1" customHeight="1" x14ac:dyDescent="0.25">
      <c r="A301" s="5">
        <v>286</v>
      </c>
      <c r="B301" s="10">
        <f>'CLIENT ENROLLMENT DISCHARGE '!B300</f>
        <v>0</v>
      </c>
      <c r="C301" s="4">
        <f>'CLIENT ENROLLMENT DISCHARGE '!C300</f>
        <v>0</v>
      </c>
      <c r="D301" s="52"/>
      <c r="E301" s="53"/>
      <c r="F301" s="52"/>
      <c r="G301" s="53"/>
      <c r="H301" s="63"/>
      <c r="I301" s="116"/>
      <c r="J301" s="3"/>
      <c r="K301" s="71"/>
      <c r="L301" s="53"/>
      <c r="M301" s="2"/>
      <c r="N301" s="1"/>
      <c r="O301" s="218">
        <f t="shared" si="8"/>
        <v>0</v>
      </c>
      <c r="P301" s="218">
        <f t="shared" si="9"/>
        <v>0</v>
      </c>
      <c r="Q301" s="60"/>
      <c r="R301" s="52"/>
      <c r="S301" s="66"/>
      <c r="T301" s="65"/>
      <c r="U301" s="68"/>
      <c r="V301" s="75"/>
      <c r="W301" s="6">
        <f>'CLIENT ENROLLMENT DISCHARGE '!M300</f>
        <v>0</v>
      </c>
      <c r="X301" s="76">
        <f>'CLIENT ENROLLMENT DISCHARGE '!L300</f>
        <v>0</v>
      </c>
      <c r="Y301" s="180"/>
    </row>
    <row r="302" spans="1:25" ht="50.1" customHeight="1" x14ac:dyDescent="0.25">
      <c r="A302" s="5">
        <v>287</v>
      </c>
      <c r="B302" s="10">
        <f>'CLIENT ENROLLMENT DISCHARGE '!B301</f>
        <v>0</v>
      </c>
      <c r="C302" s="4">
        <f>'CLIENT ENROLLMENT DISCHARGE '!C301</f>
        <v>0</v>
      </c>
      <c r="D302" s="51"/>
      <c r="E302" s="52"/>
      <c r="F302" s="51"/>
      <c r="G302" s="52"/>
      <c r="H302" s="62"/>
      <c r="I302" s="115"/>
      <c r="J302" s="143"/>
      <c r="K302" s="70"/>
      <c r="L302" s="52"/>
      <c r="M302" s="8"/>
      <c r="N302" s="7"/>
      <c r="O302" s="218">
        <f t="shared" si="8"/>
        <v>0</v>
      </c>
      <c r="P302" s="218">
        <f t="shared" si="9"/>
        <v>0</v>
      </c>
      <c r="Q302" s="59"/>
      <c r="R302" s="51"/>
      <c r="S302" s="65"/>
      <c r="T302" s="64"/>
      <c r="U302" s="67"/>
      <c r="V302" s="74"/>
      <c r="W302" s="6">
        <f>'CLIENT ENROLLMENT DISCHARGE '!M301</f>
        <v>0</v>
      </c>
      <c r="X302" s="76">
        <f>'CLIENT ENROLLMENT DISCHARGE '!L301</f>
        <v>0</v>
      </c>
      <c r="Y302" s="180"/>
    </row>
    <row r="303" spans="1:25" ht="50.1" customHeight="1" x14ac:dyDescent="0.25">
      <c r="A303" s="5">
        <v>288</v>
      </c>
      <c r="B303" s="10">
        <f>'CLIENT ENROLLMENT DISCHARGE '!B302</f>
        <v>0</v>
      </c>
      <c r="C303" s="4">
        <f>'CLIENT ENROLLMENT DISCHARGE '!C302</f>
        <v>0</v>
      </c>
      <c r="D303" s="52"/>
      <c r="E303" s="53"/>
      <c r="F303" s="52"/>
      <c r="G303" s="53"/>
      <c r="H303" s="63"/>
      <c r="I303" s="116"/>
      <c r="J303" s="144"/>
      <c r="K303" s="71"/>
      <c r="L303" s="53"/>
      <c r="M303" s="2"/>
      <c r="N303" s="1"/>
      <c r="O303" s="218">
        <f t="shared" si="8"/>
        <v>0</v>
      </c>
      <c r="P303" s="218">
        <f t="shared" si="9"/>
        <v>0</v>
      </c>
      <c r="Q303" s="60"/>
      <c r="R303" s="52"/>
      <c r="S303" s="66"/>
      <c r="T303" s="65"/>
      <c r="U303" s="68"/>
      <c r="V303" s="59"/>
      <c r="W303" s="6">
        <f>'CLIENT ENROLLMENT DISCHARGE '!M302</f>
        <v>0</v>
      </c>
      <c r="X303" s="76">
        <f>'CLIENT ENROLLMENT DISCHARGE '!L302</f>
        <v>0</v>
      </c>
      <c r="Y303" s="180"/>
    </row>
    <row r="304" spans="1:25" ht="50.1" customHeight="1" x14ac:dyDescent="0.25">
      <c r="A304" s="5">
        <v>289</v>
      </c>
      <c r="B304" s="10">
        <f>'CLIENT ENROLLMENT DISCHARGE '!B303</f>
        <v>0</v>
      </c>
      <c r="C304" s="4">
        <f>'CLIENT ENROLLMENT DISCHARGE '!C303</f>
        <v>0</v>
      </c>
      <c r="D304" s="51"/>
      <c r="E304" s="52"/>
      <c r="F304" s="51"/>
      <c r="G304" s="52"/>
      <c r="H304" s="62"/>
      <c r="I304" s="115"/>
      <c r="J304" s="143"/>
      <c r="K304" s="70"/>
      <c r="L304" s="52"/>
      <c r="M304" s="8"/>
      <c r="N304" s="7"/>
      <c r="O304" s="218">
        <f t="shared" si="8"/>
        <v>0</v>
      </c>
      <c r="P304" s="218">
        <f t="shared" si="9"/>
        <v>0</v>
      </c>
      <c r="Q304" s="59"/>
      <c r="R304" s="51"/>
      <c r="S304" s="65"/>
      <c r="T304" s="64"/>
      <c r="U304" s="67"/>
      <c r="V304" s="74"/>
      <c r="W304" s="6">
        <f>'CLIENT ENROLLMENT DISCHARGE '!M303</f>
        <v>0</v>
      </c>
      <c r="X304" s="76">
        <f>'CLIENT ENROLLMENT DISCHARGE '!L303</f>
        <v>0</v>
      </c>
      <c r="Y304" s="180"/>
    </row>
    <row r="305" spans="1:25" ht="50.1" customHeight="1" x14ac:dyDescent="0.25">
      <c r="A305" s="5">
        <v>290</v>
      </c>
      <c r="B305" s="10">
        <f>'CLIENT ENROLLMENT DISCHARGE '!B304</f>
        <v>0</v>
      </c>
      <c r="C305" s="4">
        <f>'CLIENT ENROLLMENT DISCHARGE '!C304</f>
        <v>0</v>
      </c>
      <c r="D305" s="52"/>
      <c r="E305" s="53"/>
      <c r="F305" s="52"/>
      <c r="G305" s="53"/>
      <c r="H305" s="63"/>
      <c r="I305" s="116"/>
      <c r="J305" s="144"/>
      <c r="K305" s="71"/>
      <c r="L305" s="53"/>
      <c r="M305" s="2"/>
      <c r="N305" s="1"/>
      <c r="O305" s="218">
        <f t="shared" si="8"/>
        <v>0</v>
      </c>
      <c r="P305" s="218">
        <f t="shared" si="9"/>
        <v>0</v>
      </c>
      <c r="Q305" s="60"/>
      <c r="R305" s="52"/>
      <c r="S305" s="66"/>
      <c r="T305" s="65"/>
      <c r="U305" s="68"/>
      <c r="V305" s="59"/>
      <c r="W305" s="6">
        <f>'CLIENT ENROLLMENT DISCHARGE '!M304</f>
        <v>0</v>
      </c>
      <c r="X305" s="76">
        <f>'CLIENT ENROLLMENT DISCHARGE '!L304</f>
        <v>0</v>
      </c>
      <c r="Y305" s="180"/>
    </row>
    <row r="306" spans="1:25" ht="50.1" customHeight="1" x14ac:dyDescent="0.25">
      <c r="A306" s="5">
        <v>291</v>
      </c>
      <c r="B306" s="10">
        <f>'CLIENT ENROLLMENT DISCHARGE '!B305</f>
        <v>0</v>
      </c>
      <c r="C306" s="4">
        <f>'CLIENT ENROLLMENT DISCHARGE '!C305</f>
        <v>0</v>
      </c>
      <c r="D306" s="51"/>
      <c r="E306" s="52"/>
      <c r="F306" s="51"/>
      <c r="G306" s="52"/>
      <c r="H306" s="62"/>
      <c r="I306" s="115"/>
      <c r="J306" s="143"/>
      <c r="K306" s="70"/>
      <c r="L306" s="52"/>
      <c r="M306" s="8"/>
      <c r="N306" s="7"/>
      <c r="O306" s="218">
        <f t="shared" si="8"/>
        <v>0</v>
      </c>
      <c r="P306" s="218">
        <f t="shared" si="9"/>
        <v>0</v>
      </c>
      <c r="Q306" s="59"/>
      <c r="R306" s="51"/>
      <c r="S306" s="65"/>
      <c r="T306" s="64"/>
      <c r="U306" s="67"/>
      <c r="V306" s="74"/>
      <c r="W306" s="6">
        <f>'CLIENT ENROLLMENT DISCHARGE '!M305</f>
        <v>0</v>
      </c>
      <c r="X306" s="76">
        <f>'CLIENT ENROLLMENT DISCHARGE '!L305</f>
        <v>0</v>
      </c>
      <c r="Y306" s="180"/>
    </row>
    <row r="307" spans="1:25" ht="50.1" customHeight="1" x14ac:dyDescent="0.25">
      <c r="A307" s="5">
        <v>292</v>
      </c>
      <c r="B307" s="10">
        <f>'CLIENT ENROLLMENT DISCHARGE '!B306</f>
        <v>0</v>
      </c>
      <c r="C307" s="4">
        <f>'CLIENT ENROLLMENT DISCHARGE '!C306</f>
        <v>0</v>
      </c>
      <c r="D307" s="52"/>
      <c r="E307" s="53"/>
      <c r="F307" s="52"/>
      <c r="G307" s="53"/>
      <c r="H307" s="63"/>
      <c r="I307" s="116"/>
      <c r="J307" s="144"/>
      <c r="K307" s="71"/>
      <c r="L307" s="53"/>
      <c r="M307" s="2"/>
      <c r="N307" s="1"/>
      <c r="O307" s="218">
        <f t="shared" si="8"/>
        <v>0</v>
      </c>
      <c r="P307" s="218">
        <f t="shared" si="9"/>
        <v>0</v>
      </c>
      <c r="Q307" s="60"/>
      <c r="R307" s="52"/>
      <c r="S307" s="66"/>
      <c r="T307" s="65"/>
      <c r="U307" s="68"/>
      <c r="V307" s="59"/>
      <c r="W307" s="6">
        <f>'CLIENT ENROLLMENT DISCHARGE '!M306</f>
        <v>0</v>
      </c>
      <c r="X307" s="76">
        <f>'CLIENT ENROLLMENT DISCHARGE '!L306</f>
        <v>0</v>
      </c>
      <c r="Y307" s="180"/>
    </row>
    <row r="308" spans="1:25" ht="50.1" customHeight="1" x14ac:dyDescent="0.25">
      <c r="A308" s="5">
        <v>293</v>
      </c>
      <c r="B308" s="10">
        <f>'CLIENT ENROLLMENT DISCHARGE '!B307</f>
        <v>0</v>
      </c>
      <c r="C308" s="4">
        <f>'CLIENT ENROLLMENT DISCHARGE '!C307</f>
        <v>0</v>
      </c>
      <c r="D308" s="51"/>
      <c r="E308" s="52"/>
      <c r="F308" s="51"/>
      <c r="G308" s="52"/>
      <c r="H308" s="62"/>
      <c r="I308" s="115"/>
      <c r="J308" s="143"/>
      <c r="K308" s="70"/>
      <c r="L308" s="52"/>
      <c r="M308" s="8"/>
      <c r="N308" s="7"/>
      <c r="O308" s="218">
        <f t="shared" si="8"/>
        <v>0</v>
      </c>
      <c r="P308" s="218">
        <f t="shared" si="9"/>
        <v>0</v>
      </c>
      <c r="Q308" s="59"/>
      <c r="R308" s="51"/>
      <c r="S308" s="65"/>
      <c r="T308" s="64"/>
      <c r="U308" s="67"/>
      <c r="V308" s="74"/>
      <c r="W308" s="6">
        <f>'CLIENT ENROLLMENT DISCHARGE '!M307</f>
        <v>0</v>
      </c>
      <c r="X308" s="76">
        <f>'CLIENT ENROLLMENT DISCHARGE '!L307</f>
        <v>0</v>
      </c>
      <c r="Y308" s="180"/>
    </row>
    <row r="309" spans="1:25" ht="50.1" customHeight="1" x14ac:dyDescent="0.25">
      <c r="A309" s="5">
        <v>294</v>
      </c>
      <c r="B309" s="10">
        <f>'CLIENT ENROLLMENT DISCHARGE '!B308</f>
        <v>0</v>
      </c>
      <c r="C309" s="4">
        <f>'CLIENT ENROLLMENT DISCHARGE '!C308</f>
        <v>0</v>
      </c>
      <c r="D309" s="52"/>
      <c r="E309" s="53"/>
      <c r="F309" s="52"/>
      <c r="G309" s="53"/>
      <c r="H309" s="63"/>
      <c r="I309" s="116"/>
      <c r="J309" s="144"/>
      <c r="K309" s="71"/>
      <c r="L309" s="53"/>
      <c r="M309" s="2"/>
      <c r="N309" s="1"/>
      <c r="O309" s="218">
        <f t="shared" si="8"/>
        <v>0</v>
      </c>
      <c r="P309" s="218">
        <f t="shared" si="9"/>
        <v>0</v>
      </c>
      <c r="Q309" s="60"/>
      <c r="R309" s="52"/>
      <c r="S309" s="66"/>
      <c r="T309" s="65"/>
      <c r="U309" s="68"/>
      <c r="V309" s="59"/>
      <c r="W309" s="6">
        <f>'CLIENT ENROLLMENT DISCHARGE '!M308</f>
        <v>0</v>
      </c>
      <c r="X309" s="76">
        <f>'CLIENT ENROLLMENT DISCHARGE '!L308</f>
        <v>0</v>
      </c>
      <c r="Y309" s="180"/>
    </row>
    <row r="310" spans="1:25" ht="50.1" customHeight="1" x14ac:dyDescent="0.25">
      <c r="A310" s="5">
        <v>295</v>
      </c>
      <c r="B310" s="10">
        <f>'CLIENT ENROLLMENT DISCHARGE '!B309</f>
        <v>0</v>
      </c>
      <c r="C310" s="4">
        <f>'CLIENT ENROLLMENT DISCHARGE '!C309</f>
        <v>0</v>
      </c>
      <c r="D310" s="51"/>
      <c r="E310" s="52"/>
      <c r="F310" s="51"/>
      <c r="G310" s="52"/>
      <c r="H310" s="62"/>
      <c r="I310" s="115"/>
      <c r="J310" s="143"/>
      <c r="K310" s="70"/>
      <c r="L310" s="52"/>
      <c r="M310" s="8"/>
      <c r="N310" s="7"/>
      <c r="O310" s="218">
        <f t="shared" si="8"/>
        <v>0</v>
      </c>
      <c r="P310" s="218">
        <f t="shared" si="9"/>
        <v>0</v>
      </c>
      <c r="Q310" s="59"/>
      <c r="R310" s="51"/>
      <c r="S310" s="65"/>
      <c r="T310" s="64"/>
      <c r="U310" s="67"/>
      <c r="V310" s="74"/>
      <c r="W310" s="6">
        <f>'CLIENT ENROLLMENT DISCHARGE '!M309</f>
        <v>0</v>
      </c>
      <c r="X310" s="76">
        <f>'CLIENT ENROLLMENT DISCHARGE '!L309</f>
        <v>0</v>
      </c>
      <c r="Y310" s="180"/>
    </row>
    <row r="311" spans="1:25" ht="50.1" customHeight="1" x14ac:dyDescent="0.25">
      <c r="A311" s="5">
        <v>296</v>
      </c>
      <c r="B311" s="10">
        <f>'CLIENT ENROLLMENT DISCHARGE '!B310</f>
        <v>0</v>
      </c>
      <c r="C311" s="4">
        <f>'CLIENT ENROLLMENT DISCHARGE '!C310</f>
        <v>0</v>
      </c>
      <c r="D311" s="52"/>
      <c r="E311" s="53"/>
      <c r="F311" s="52"/>
      <c r="G311" s="53"/>
      <c r="H311" s="63"/>
      <c r="I311" s="116"/>
      <c r="J311" s="144"/>
      <c r="K311" s="71"/>
      <c r="L311" s="53"/>
      <c r="M311" s="2"/>
      <c r="N311" s="1"/>
      <c r="O311" s="218">
        <f t="shared" si="8"/>
        <v>0</v>
      </c>
      <c r="P311" s="218">
        <f t="shared" si="9"/>
        <v>0</v>
      </c>
      <c r="Q311" s="60"/>
      <c r="R311" s="52"/>
      <c r="S311" s="66"/>
      <c r="T311" s="65"/>
      <c r="U311" s="68"/>
      <c r="V311" s="75"/>
      <c r="W311" s="6">
        <f>'CLIENT ENROLLMENT DISCHARGE '!M310</f>
        <v>0</v>
      </c>
      <c r="X311" s="76">
        <f>'CLIENT ENROLLMENT DISCHARGE '!L310</f>
        <v>0</v>
      </c>
      <c r="Y311" s="180"/>
    </row>
    <row r="312" spans="1:25" ht="50.1" customHeight="1" x14ac:dyDescent="0.25">
      <c r="A312" s="5">
        <v>297</v>
      </c>
      <c r="B312" s="10">
        <f>'CLIENT ENROLLMENT DISCHARGE '!B311</f>
        <v>0</v>
      </c>
      <c r="C312" s="4">
        <f>'CLIENT ENROLLMENT DISCHARGE '!C311</f>
        <v>0</v>
      </c>
      <c r="D312" s="51"/>
      <c r="E312" s="52"/>
      <c r="F312" s="51"/>
      <c r="G312" s="52"/>
      <c r="H312" s="62"/>
      <c r="I312" s="115"/>
      <c r="J312" s="143"/>
      <c r="K312" s="70"/>
      <c r="L312" s="52"/>
      <c r="M312" s="8"/>
      <c r="N312" s="7"/>
      <c r="O312" s="218">
        <f t="shared" si="8"/>
        <v>0</v>
      </c>
      <c r="P312" s="218">
        <f t="shared" si="9"/>
        <v>0</v>
      </c>
      <c r="Q312" s="59"/>
      <c r="R312" s="51"/>
      <c r="S312" s="65"/>
      <c r="T312" s="64"/>
      <c r="U312" s="67"/>
      <c r="V312" s="74"/>
      <c r="W312" s="6">
        <f>'CLIENT ENROLLMENT DISCHARGE '!M311</f>
        <v>0</v>
      </c>
      <c r="X312" s="76">
        <f>'CLIENT ENROLLMENT DISCHARGE '!L311</f>
        <v>0</v>
      </c>
      <c r="Y312" s="180"/>
    </row>
    <row r="313" spans="1:25" ht="50.1" customHeight="1" x14ac:dyDescent="0.25">
      <c r="A313" s="5">
        <v>298</v>
      </c>
      <c r="B313" s="10">
        <f>'CLIENT ENROLLMENT DISCHARGE '!B312</f>
        <v>0</v>
      </c>
      <c r="C313" s="4">
        <f>'CLIENT ENROLLMENT DISCHARGE '!C312</f>
        <v>0</v>
      </c>
      <c r="D313" s="52"/>
      <c r="E313" s="53"/>
      <c r="F313" s="52"/>
      <c r="G313" s="53"/>
      <c r="H313" s="63"/>
      <c r="I313" s="116"/>
      <c r="J313" s="144"/>
      <c r="K313" s="71"/>
      <c r="L313" s="53"/>
      <c r="M313" s="2"/>
      <c r="N313" s="1"/>
      <c r="O313" s="218">
        <f t="shared" si="8"/>
        <v>0</v>
      </c>
      <c r="P313" s="218">
        <f t="shared" si="9"/>
        <v>0</v>
      </c>
      <c r="Q313" s="60"/>
      <c r="R313" s="52"/>
      <c r="S313" s="66"/>
      <c r="T313" s="65"/>
      <c r="U313" s="68"/>
      <c r="V313" s="59"/>
      <c r="W313" s="6">
        <f>'CLIENT ENROLLMENT DISCHARGE '!M312</f>
        <v>0</v>
      </c>
      <c r="X313" s="76">
        <f>'CLIENT ENROLLMENT DISCHARGE '!L312</f>
        <v>0</v>
      </c>
      <c r="Y313" s="180"/>
    </row>
    <row r="314" spans="1:25" ht="50.1" customHeight="1" x14ac:dyDescent="0.25">
      <c r="A314" s="5">
        <v>299</v>
      </c>
      <c r="B314" s="10">
        <f>'CLIENT ENROLLMENT DISCHARGE '!B313</f>
        <v>0</v>
      </c>
      <c r="C314" s="4">
        <f>'CLIENT ENROLLMENT DISCHARGE '!C313</f>
        <v>0</v>
      </c>
      <c r="D314" s="51"/>
      <c r="E314" s="52"/>
      <c r="F314" s="51"/>
      <c r="G314" s="52"/>
      <c r="H314" s="62"/>
      <c r="I314" s="115"/>
      <c r="J314" s="143"/>
      <c r="K314" s="70"/>
      <c r="L314" s="52"/>
      <c r="M314" s="8"/>
      <c r="N314" s="7"/>
      <c r="O314" s="218">
        <f t="shared" si="8"/>
        <v>0</v>
      </c>
      <c r="P314" s="218">
        <f t="shared" si="9"/>
        <v>0</v>
      </c>
      <c r="Q314" s="59"/>
      <c r="R314" s="51"/>
      <c r="S314" s="65"/>
      <c r="T314" s="64"/>
      <c r="U314" s="67"/>
      <c r="V314" s="74"/>
      <c r="W314" s="6">
        <f>'CLIENT ENROLLMENT DISCHARGE '!M313</f>
        <v>0</v>
      </c>
      <c r="X314" s="76">
        <f>'CLIENT ENROLLMENT DISCHARGE '!L313</f>
        <v>0</v>
      </c>
      <c r="Y314" s="180"/>
    </row>
    <row r="315" spans="1:25" ht="50.1" customHeight="1" x14ac:dyDescent="0.25">
      <c r="A315" s="5">
        <v>300</v>
      </c>
      <c r="B315" s="10">
        <f>'CLIENT ENROLLMENT DISCHARGE '!B314</f>
        <v>0</v>
      </c>
      <c r="C315" s="4">
        <f>'CLIENT ENROLLMENT DISCHARGE '!C314</f>
        <v>0</v>
      </c>
      <c r="D315" s="52"/>
      <c r="E315" s="53"/>
      <c r="F315" s="52"/>
      <c r="G315" s="53"/>
      <c r="H315" s="63"/>
      <c r="I315" s="116"/>
      <c r="J315" s="144"/>
      <c r="K315" s="71"/>
      <c r="L315" s="53"/>
      <c r="M315" s="2"/>
      <c r="N315" s="1"/>
      <c r="O315" s="218">
        <f t="shared" si="8"/>
        <v>0</v>
      </c>
      <c r="P315" s="218">
        <f t="shared" si="9"/>
        <v>0</v>
      </c>
      <c r="Q315" s="60"/>
      <c r="R315" s="52"/>
      <c r="S315" s="66"/>
      <c r="T315" s="65"/>
      <c r="U315" s="68"/>
      <c r="V315" s="59"/>
      <c r="W315" s="6">
        <f>'CLIENT ENROLLMENT DISCHARGE '!M314</f>
        <v>0</v>
      </c>
      <c r="X315" s="76">
        <f>'CLIENT ENROLLMENT DISCHARGE '!L314</f>
        <v>0</v>
      </c>
      <c r="Y315" s="180"/>
    </row>
    <row r="316" spans="1:25" ht="50.1" customHeight="1" x14ac:dyDescent="0.25">
      <c r="A316" s="5">
        <v>301</v>
      </c>
      <c r="B316" s="10">
        <f>'CLIENT ENROLLMENT DISCHARGE '!B315</f>
        <v>0</v>
      </c>
      <c r="C316" s="4">
        <f>'CLIENT ENROLLMENT DISCHARGE '!C315</f>
        <v>0</v>
      </c>
      <c r="D316" s="51"/>
      <c r="E316" s="52"/>
      <c r="F316" s="51"/>
      <c r="G316" s="52"/>
      <c r="H316" s="62"/>
      <c r="I316" s="115"/>
      <c r="J316" s="143"/>
      <c r="K316" s="70"/>
      <c r="L316" s="52"/>
      <c r="M316" s="8"/>
      <c r="N316" s="7"/>
      <c r="O316" s="218">
        <f t="shared" si="8"/>
        <v>0</v>
      </c>
      <c r="P316" s="218">
        <f t="shared" si="9"/>
        <v>0</v>
      </c>
      <c r="Q316" s="59"/>
      <c r="R316" s="51"/>
      <c r="S316" s="65"/>
      <c r="T316" s="64"/>
      <c r="U316" s="67"/>
      <c r="V316" s="74"/>
      <c r="W316" s="6">
        <f>'CLIENT ENROLLMENT DISCHARGE '!M315</f>
        <v>0</v>
      </c>
      <c r="X316" s="76">
        <f>'CLIENT ENROLLMENT DISCHARGE '!L315</f>
        <v>0</v>
      </c>
      <c r="Y316" s="180"/>
    </row>
    <row r="317" spans="1:25" ht="50.1" customHeight="1" x14ac:dyDescent="0.25">
      <c r="A317" s="5">
        <v>302</v>
      </c>
      <c r="B317" s="10">
        <f>'CLIENT ENROLLMENT DISCHARGE '!B316</f>
        <v>0</v>
      </c>
      <c r="C317" s="4">
        <f>'CLIENT ENROLLMENT DISCHARGE '!C316</f>
        <v>0</v>
      </c>
      <c r="D317" s="52"/>
      <c r="E317" s="53"/>
      <c r="F317" s="52"/>
      <c r="G317" s="53"/>
      <c r="H317" s="63"/>
      <c r="I317" s="116"/>
      <c r="J317" s="144"/>
      <c r="K317" s="71"/>
      <c r="L317" s="53"/>
      <c r="M317" s="2"/>
      <c r="N317" s="1"/>
      <c r="O317" s="218">
        <f t="shared" si="8"/>
        <v>0</v>
      </c>
      <c r="P317" s="218">
        <f t="shared" si="9"/>
        <v>0</v>
      </c>
      <c r="Q317" s="60"/>
      <c r="R317" s="52"/>
      <c r="S317" s="66"/>
      <c r="T317" s="65"/>
      <c r="U317" s="68"/>
      <c r="V317" s="59"/>
      <c r="W317" s="6">
        <f>'CLIENT ENROLLMENT DISCHARGE '!M316</f>
        <v>0</v>
      </c>
      <c r="X317" s="76">
        <f>'CLIENT ENROLLMENT DISCHARGE '!L316</f>
        <v>0</v>
      </c>
      <c r="Y317" s="180"/>
    </row>
    <row r="318" spans="1:25" ht="50.1" customHeight="1" x14ac:dyDescent="0.25">
      <c r="A318" s="5">
        <v>303</v>
      </c>
      <c r="B318" s="10">
        <f>'CLIENT ENROLLMENT DISCHARGE '!B317</f>
        <v>0</v>
      </c>
      <c r="C318" s="4">
        <f>'CLIENT ENROLLMENT DISCHARGE '!C317</f>
        <v>0</v>
      </c>
      <c r="D318" s="51"/>
      <c r="E318" s="52"/>
      <c r="F318" s="51"/>
      <c r="G318" s="52"/>
      <c r="H318" s="62"/>
      <c r="I318" s="115"/>
      <c r="J318" s="143"/>
      <c r="K318" s="70"/>
      <c r="L318" s="52"/>
      <c r="M318" s="8"/>
      <c r="N318" s="7"/>
      <c r="O318" s="218">
        <f t="shared" si="8"/>
        <v>0</v>
      </c>
      <c r="P318" s="218">
        <f t="shared" si="9"/>
        <v>0</v>
      </c>
      <c r="Q318" s="59"/>
      <c r="R318" s="51"/>
      <c r="S318" s="65"/>
      <c r="T318" s="64"/>
      <c r="U318" s="67"/>
      <c r="V318" s="74"/>
      <c r="W318" s="6">
        <f>'CLIENT ENROLLMENT DISCHARGE '!M317</f>
        <v>0</v>
      </c>
      <c r="X318" s="76">
        <f>'CLIENT ENROLLMENT DISCHARGE '!L317</f>
        <v>0</v>
      </c>
      <c r="Y318" s="180"/>
    </row>
    <row r="319" spans="1:25" ht="50.1" customHeight="1" x14ac:dyDescent="0.25">
      <c r="A319" s="5">
        <v>304</v>
      </c>
      <c r="B319" s="10">
        <f>'CLIENT ENROLLMENT DISCHARGE '!B318</f>
        <v>0</v>
      </c>
      <c r="C319" s="4">
        <f>'CLIENT ENROLLMENT DISCHARGE '!C318</f>
        <v>0</v>
      </c>
      <c r="D319" s="52"/>
      <c r="E319" s="53"/>
      <c r="F319" s="52"/>
      <c r="G319" s="53"/>
      <c r="H319" s="63"/>
      <c r="I319" s="116"/>
      <c r="J319" s="144"/>
      <c r="K319" s="71"/>
      <c r="L319" s="53"/>
      <c r="M319" s="2"/>
      <c r="N319" s="1"/>
      <c r="O319" s="218">
        <f t="shared" si="8"/>
        <v>0</v>
      </c>
      <c r="P319" s="218">
        <f t="shared" si="9"/>
        <v>0</v>
      </c>
      <c r="Q319" s="60"/>
      <c r="R319" s="52"/>
      <c r="S319" s="66"/>
      <c r="T319" s="65"/>
      <c r="U319" s="68"/>
      <c r="V319" s="59"/>
      <c r="W319" s="6">
        <f>'CLIENT ENROLLMENT DISCHARGE '!M318</f>
        <v>0</v>
      </c>
      <c r="X319" s="76">
        <f>'CLIENT ENROLLMENT DISCHARGE '!L318</f>
        <v>0</v>
      </c>
      <c r="Y319" s="180"/>
    </row>
    <row r="320" spans="1:25" ht="50.1" customHeight="1" x14ac:dyDescent="0.25">
      <c r="A320" s="5">
        <v>305</v>
      </c>
      <c r="B320" s="10">
        <f>'CLIENT ENROLLMENT DISCHARGE '!B319</f>
        <v>0</v>
      </c>
      <c r="C320" s="4">
        <f>'CLIENT ENROLLMENT DISCHARGE '!C319</f>
        <v>0</v>
      </c>
      <c r="D320" s="51"/>
      <c r="E320" s="52"/>
      <c r="F320" s="51"/>
      <c r="G320" s="52"/>
      <c r="H320" s="62"/>
      <c r="I320" s="115"/>
      <c r="J320" s="143"/>
      <c r="K320" s="70"/>
      <c r="L320" s="52"/>
      <c r="M320" s="8"/>
      <c r="N320" s="7"/>
      <c r="O320" s="218">
        <f t="shared" si="8"/>
        <v>0</v>
      </c>
      <c r="P320" s="218">
        <f t="shared" si="9"/>
        <v>0</v>
      </c>
      <c r="Q320" s="59"/>
      <c r="R320" s="51"/>
      <c r="S320" s="65"/>
      <c r="T320" s="64"/>
      <c r="U320" s="67"/>
      <c r="V320" s="74"/>
      <c r="W320" s="6">
        <f>'CLIENT ENROLLMENT DISCHARGE '!M319</f>
        <v>0</v>
      </c>
      <c r="X320" s="76">
        <f>'CLIENT ENROLLMENT DISCHARGE '!L319</f>
        <v>0</v>
      </c>
      <c r="Y320" s="180"/>
    </row>
    <row r="321" spans="1:25" ht="50.1" customHeight="1" x14ac:dyDescent="0.25">
      <c r="A321" s="5">
        <v>306</v>
      </c>
      <c r="B321" s="10">
        <f>'CLIENT ENROLLMENT DISCHARGE '!B320</f>
        <v>0</v>
      </c>
      <c r="C321" s="4">
        <f>'CLIENT ENROLLMENT DISCHARGE '!C320</f>
        <v>0</v>
      </c>
      <c r="D321" s="52"/>
      <c r="E321" s="53"/>
      <c r="F321" s="52"/>
      <c r="G321" s="53"/>
      <c r="H321" s="63"/>
      <c r="I321" s="116"/>
      <c r="J321" s="3"/>
      <c r="K321" s="71"/>
      <c r="L321" s="53"/>
      <c r="M321" s="2"/>
      <c r="N321" s="1"/>
      <c r="O321" s="218">
        <f t="shared" si="8"/>
        <v>0</v>
      </c>
      <c r="P321" s="218">
        <f t="shared" si="9"/>
        <v>0</v>
      </c>
      <c r="Q321" s="60"/>
      <c r="R321" s="52"/>
      <c r="S321" s="66"/>
      <c r="T321" s="65"/>
      <c r="U321" s="68"/>
      <c r="V321" s="75"/>
      <c r="W321" s="6">
        <f>'CLIENT ENROLLMENT DISCHARGE '!M320</f>
        <v>0</v>
      </c>
      <c r="X321" s="76">
        <f>'CLIENT ENROLLMENT DISCHARGE '!L320</f>
        <v>0</v>
      </c>
      <c r="Y321" s="180"/>
    </row>
    <row r="322" spans="1:25" ht="50.1" customHeight="1" x14ac:dyDescent="0.25">
      <c r="A322" s="5">
        <v>307</v>
      </c>
      <c r="B322" s="10">
        <f>'CLIENT ENROLLMENT DISCHARGE '!B321</f>
        <v>0</v>
      </c>
      <c r="C322" s="4">
        <f>'CLIENT ENROLLMENT DISCHARGE '!C321</f>
        <v>0</v>
      </c>
      <c r="D322" s="51"/>
      <c r="E322" s="52"/>
      <c r="F322" s="51"/>
      <c r="G322" s="52"/>
      <c r="H322" s="62"/>
      <c r="I322" s="115"/>
      <c r="J322" s="143"/>
      <c r="K322" s="70"/>
      <c r="L322" s="52"/>
      <c r="M322" s="8"/>
      <c r="N322" s="7"/>
      <c r="O322" s="218">
        <f t="shared" si="8"/>
        <v>0</v>
      </c>
      <c r="P322" s="218">
        <f t="shared" si="9"/>
        <v>0</v>
      </c>
      <c r="Q322" s="59"/>
      <c r="R322" s="51"/>
      <c r="S322" s="65"/>
      <c r="T322" s="64"/>
      <c r="U322" s="67"/>
      <c r="V322" s="74"/>
      <c r="W322" s="6">
        <f>'CLIENT ENROLLMENT DISCHARGE '!M321</f>
        <v>0</v>
      </c>
      <c r="X322" s="76">
        <f>'CLIENT ENROLLMENT DISCHARGE '!L321</f>
        <v>0</v>
      </c>
      <c r="Y322" s="180"/>
    </row>
    <row r="323" spans="1:25" ht="50.1" customHeight="1" x14ac:dyDescent="0.25">
      <c r="A323" s="5">
        <v>308</v>
      </c>
      <c r="B323" s="10">
        <f>'CLIENT ENROLLMENT DISCHARGE '!B322</f>
        <v>0</v>
      </c>
      <c r="C323" s="4">
        <f>'CLIENT ENROLLMENT DISCHARGE '!C322</f>
        <v>0</v>
      </c>
      <c r="D323" s="52"/>
      <c r="E323" s="53"/>
      <c r="F323" s="52"/>
      <c r="G323" s="53"/>
      <c r="H323" s="63"/>
      <c r="I323" s="116"/>
      <c r="J323" s="144"/>
      <c r="K323" s="71"/>
      <c r="L323" s="53"/>
      <c r="M323" s="2"/>
      <c r="N323" s="1"/>
      <c r="O323" s="218">
        <f t="shared" si="8"/>
        <v>0</v>
      </c>
      <c r="P323" s="218">
        <f t="shared" si="9"/>
        <v>0</v>
      </c>
      <c r="Q323" s="60"/>
      <c r="R323" s="52"/>
      <c r="S323" s="66"/>
      <c r="T323" s="65"/>
      <c r="U323" s="68"/>
      <c r="V323" s="59"/>
      <c r="W323" s="6">
        <f>'CLIENT ENROLLMENT DISCHARGE '!M322</f>
        <v>0</v>
      </c>
      <c r="X323" s="76">
        <f>'CLIENT ENROLLMENT DISCHARGE '!L322</f>
        <v>0</v>
      </c>
      <c r="Y323" s="180"/>
    </row>
    <row r="324" spans="1:25" ht="50.1" customHeight="1" x14ac:dyDescent="0.25">
      <c r="A324" s="5">
        <v>309</v>
      </c>
      <c r="B324" s="10">
        <f>'CLIENT ENROLLMENT DISCHARGE '!B323</f>
        <v>0</v>
      </c>
      <c r="C324" s="4">
        <f>'CLIENT ENROLLMENT DISCHARGE '!C323</f>
        <v>0</v>
      </c>
      <c r="D324" s="51"/>
      <c r="E324" s="52"/>
      <c r="F324" s="51"/>
      <c r="G324" s="52"/>
      <c r="H324" s="62"/>
      <c r="I324" s="115"/>
      <c r="J324" s="143"/>
      <c r="K324" s="70"/>
      <c r="L324" s="52"/>
      <c r="M324" s="8"/>
      <c r="N324" s="7"/>
      <c r="O324" s="218">
        <f t="shared" si="8"/>
        <v>0</v>
      </c>
      <c r="P324" s="218">
        <f t="shared" si="9"/>
        <v>0</v>
      </c>
      <c r="Q324" s="59"/>
      <c r="R324" s="51"/>
      <c r="S324" s="65"/>
      <c r="T324" s="64"/>
      <c r="U324" s="67"/>
      <c r="V324" s="74"/>
      <c r="W324" s="6">
        <f>'CLIENT ENROLLMENT DISCHARGE '!M323</f>
        <v>0</v>
      </c>
      <c r="X324" s="76">
        <f>'CLIENT ENROLLMENT DISCHARGE '!L323</f>
        <v>0</v>
      </c>
      <c r="Y324" s="180"/>
    </row>
    <row r="325" spans="1:25" ht="50.1" customHeight="1" x14ac:dyDescent="0.25">
      <c r="A325" s="5">
        <v>310</v>
      </c>
      <c r="B325" s="10">
        <f>'CLIENT ENROLLMENT DISCHARGE '!B324</f>
        <v>0</v>
      </c>
      <c r="C325" s="4">
        <f>'CLIENT ENROLLMENT DISCHARGE '!C324</f>
        <v>0</v>
      </c>
      <c r="D325" s="52"/>
      <c r="E325" s="53"/>
      <c r="F325" s="52"/>
      <c r="G325" s="53"/>
      <c r="H325" s="63"/>
      <c r="I325" s="116"/>
      <c r="J325" s="144"/>
      <c r="K325" s="71"/>
      <c r="L325" s="53"/>
      <c r="M325" s="2"/>
      <c r="N325" s="1"/>
      <c r="O325" s="218">
        <f t="shared" si="8"/>
        <v>0</v>
      </c>
      <c r="P325" s="218">
        <f t="shared" si="9"/>
        <v>0</v>
      </c>
      <c r="Q325" s="60"/>
      <c r="R325" s="52"/>
      <c r="S325" s="66"/>
      <c r="T325" s="65"/>
      <c r="U325" s="68"/>
      <c r="V325" s="59"/>
      <c r="W325" s="6">
        <f>'CLIENT ENROLLMENT DISCHARGE '!M324</f>
        <v>0</v>
      </c>
      <c r="X325" s="76">
        <f>'CLIENT ENROLLMENT DISCHARGE '!L324</f>
        <v>0</v>
      </c>
      <c r="Y325" s="180"/>
    </row>
    <row r="326" spans="1:25" ht="50.1" customHeight="1" x14ac:dyDescent="0.25">
      <c r="A326" s="5">
        <v>311</v>
      </c>
      <c r="B326" s="10">
        <f>'CLIENT ENROLLMENT DISCHARGE '!B325</f>
        <v>0</v>
      </c>
      <c r="C326" s="4">
        <f>'CLIENT ENROLLMENT DISCHARGE '!C325</f>
        <v>0</v>
      </c>
      <c r="D326" s="51"/>
      <c r="E326" s="52"/>
      <c r="F326" s="51"/>
      <c r="G326" s="52"/>
      <c r="H326" s="62"/>
      <c r="I326" s="115"/>
      <c r="J326" s="143"/>
      <c r="K326" s="70"/>
      <c r="L326" s="52"/>
      <c r="M326" s="8"/>
      <c r="N326" s="7"/>
      <c r="O326" s="218">
        <f t="shared" si="8"/>
        <v>0</v>
      </c>
      <c r="P326" s="218">
        <f t="shared" si="9"/>
        <v>0</v>
      </c>
      <c r="Q326" s="59"/>
      <c r="R326" s="51"/>
      <c r="S326" s="65"/>
      <c r="T326" s="64"/>
      <c r="U326" s="67"/>
      <c r="V326" s="74"/>
      <c r="W326" s="6">
        <f>'CLIENT ENROLLMENT DISCHARGE '!M325</f>
        <v>0</v>
      </c>
      <c r="X326" s="76">
        <f>'CLIENT ENROLLMENT DISCHARGE '!L325</f>
        <v>0</v>
      </c>
      <c r="Y326" s="180"/>
    </row>
    <row r="327" spans="1:25" ht="50.1" customHeight="1" x14ac:dyDescent="0.25">
      <c r="A327" s="5">
        <v>312</v>
      </c>
      <c r="B327" s="10">
        <f>'CLIENT ENROLLMENT DISCHARGE '!B326</f>
        <v>0</v>
      </c>
      <c r="C327" s="4">
        <f>'CLIENT ENROLLMENT DISCHARGE '!C326</f>
        <v>0</v>
      </c>
      <c r="D327" s="52"/>
      <c r="E327" s="53"/>
      <c r="F327" s="52"/>
      <c r="G327" s="53"/>
      <c r="H327" s="63"/>
      <c r="I327" s="116"/>
      <c r="J327" s="144"/>
      <c r="K327" s="71"/>
      <c r="L327" s="53"/>
      <c r="M327" s="2"/>
      <c r="N327" s="1"/>
      <c r="O327" s="218">
        <f t="shared" si="8"/>
        <v>0</v>
      </c>
      <c r="P327" s="218">
        <f t="shared" si="9"/>
        <v>0</v>
      </c>
      <c r="Q327" s="60"/>
      <c r="R327" s="52"/>
      <c r="S327" s="66"/>
      <c r="T327" s="65"/>
      <c r="U327" s="68"/>
      <c r="V327" s="59"/>
      <c r="W327" s="6">
        <f>'CLIENT ENROLLMENT DISCHARGE '!M326</f>
        <v>0</v>
      </c>
      <c r="X327" s="76">
        <f>'CLIENT ENROLLMENT DISCHARGE '!L326</f>
        <v>0</v>
      </c>
      <c r="Y327" s="180"/>
    </row>
    <row r="328" spans="1:25" ht="50.1" customHeight="1" x14ac:dyDescent="0.25">
      <c r="A328" s="5">
        <v>313</v>
      </c>
      <c r="B328" s="10">
        <f>'CLIENT ENROLLMENT DISCHARGE '!B327</f>
        <v>0</v>
      </c>
      <c r="C328" s="4">
        <f>'CLIENT ENROLLMENT DISCHARGE '!C327</f>
        <v>0</v>
      </c>
      <c r="D328" s="51"/>
      <c r="E328" s="52"/>
      <c r="F328" s="51"/>
      <c r="G328" s="52"/>
      <c r="H328" s="62"/>
      <c r="I328" s="115"/>
      <c r="J328" s="143"/>
      <c r="K328" s="70"/>
      <c r="L328" s="52"/>
      <c r="M328" s="8"/>
      <c r="N328" s="7"/>
      <c r="O328" s="218">
        <f t="shared" si="8"/>
        <v>0</v>
      </c>
      <c r="P328" s="218">
        <f t="shared" si="9"/>
        <v>0</v>
      </c>
      <c r="Q328" s="59"/>
      <c r="R328" s="51"/>
      <c r="S328" s="65"/>
      <c r="T328" s="64"/>
      <c r="U328" s="67"/>
      <c r="V328" s="74"/>
      <c r="W328" s="6">
        <f>'CLIENT ENROLLMENT DISCHARGE '!M327</f>
        <v>0</v>
      </c>
      <c r="X328" s="76">
        <f>'CLIENT ENROLLMENT DISCHARGE '!L327</f>
        <v>0</v>
      </c>
      <c r="Y328" s="180"/>
    </row>
    <row r="329" spans="1:25" ht="50.1" customHeight="1" x14ac:dyDescent="0.25">
      <c r="A329" s="5">
        <v>314</v>
      </c>
      <c r="B329" s="10">
        <f>'CLIENT ENROLLMENT DISCHARGE '!B328</f>
        <v>0</v>
      </c>
      <c r="C329" s="4">
        <f>'CLIENT ENROLLMENT DISCHARGE '!C328</f>
        <v>0</v>
      </c>
      <c r="D329" s="52"/>
      <c r="E329" s="53"/>
      <c r="F329" s="52"/>
      <c r="G329" s="53"/>
      <c r="H329" s="63"/>
      <c r="I329" s="116"/>
      <c r="J329" s="144"/>
      <c r="K329" s="71"/>
      <c r="L329" s="53"/>
      <c r="M329" s="2"/>
      <c r="N329" s="1"/>
      <c r="O329" s="218">
        <f t="shared" si="8"/>
        <v>0</v>
      </c>
      <c r="P329" s="218">
        <f t="shared" si="9"/>
        <v>0</v>
      </c>
      <c r="Q329" s="60"/>
      <c r="R329" s="52"/>
      <c r="S329" s="66"/>
      <c r="T329" s="65"/>
      <c r="U329" s="68"/>
      <c r="V329" s="59"/>
      <c r="W329" s="6">
        <f>'CLIENT ENROLLMENT DISCHARGE '!M328</f>
        <v>0</v>
      </c>
      <c r="X329" s="76">
        <f>'CLIENT ENROLLMENT DISCHARGE '!L328</f>
        <v>0</v>
      </c>
      <c r="Y329" s="180"/>
    </row>
    <row r="330" spans="1:25" ht="50.1" customHeight="1" x14ac:dyDescent="0.25">
      <c r="A330" s="5">
        <v>315</v>
      </c>
      <c r="B330" s="10">
        <f>'CLIENT ENROLLMENT DISCHARGE '!B329</f>
        <v>0</v>
      </c>
      <c r="C330" s="4">
        <f>'CLIENT ENROLLMENT DISCHARGE '!C329</f>
        <v>0</v>
      </c>
      <c r="D330" s="51"/>
      <c r="E330" s="52"/>
      <c r="F330" s="51"/>
      <c r="G330" s="52"/>
      <c r="H330" s="62"/>
      <c r="I330" s="115"/>
      <c r="J330" s="143"/>
      <c r="K330" s="70"/>
      <c r="L330" s="52"/>
      <c r="M330" s="8"/>
      <c r="N330" s="7"/>
      <c r="O330" s="218">
        <f t="shared" si="8"/>
        <v>0</v>
      </c>
      <c r="P330" s="218">
        <f t="shared" si="9"/>
        <v>0</v>
      </c>
      <c r="Q330" s="59"/>
      <c r="R330" s="51"/>
      <c r="S330" s="65"/>
      <c r="T330" s="64"/>
      <c r="U330" s="67"/>
      <c r="V330" s="74"/>
      <c r="W330" s="6">
        <f>'CLIENT ENROLLMENT DISCHARGE '!M329</f>
        <v>0</v>
      </c>
      <c r="X330" s="76">
        <f>'CLIENT ENROLLMENT DISCHARGE '!L329</f>
        <v>0</v>
      </c>
      <c r="Y330" s="180"/>
    </row>
    <row r="331" spans="1:25" ht="50.1" customHeight="1" x14ac:dyDescent="0.25">
      <c r="A331" s="5">
        <v>316</v>
      </c>
      <c r="B331" s="10">
        <f>'CLIENT ENROLLMENT DISCHARGE '!B330</f>
        <v>0</v>
      </c>
      <c r="C331" s="4">
        <f>'CLIENT ENROLLMENT DISCHARGE '!C330</f>
        <v>0</v>
      </c>
      <c r="D331" s="52"/>
      <c r="E331" s="53"/>
      <c r="F331" s="52"/>
      <c r="G331" s="53"/>
      <c r="H331" s="63"/>
      <c r="I331" s="116"/>
      <c r="J331" s="144"/>
      <c r="K331" s="71"/>
      <c r="L331" s="53"/>
      <c r="M331" s="2"/>
      <c r="N331" s="1"/>
      <c r="O331" s="218">
        <f t="shared" si="8"/>
        <v>0</v>
      </c>
      <c r="P331" s="218">
        <f t="shared" si="9"/>
        <v>0</v>
      </c>
      <c r="Q331" s="60"/>
      <c r="R331" s="52"/>
      <c r="S331" s="66"/>
      <c r="T331" s="65"/>
      <c r="U331" s="68"/>
      <c r="V331" s="75"/>
      <c r="W331" s="6">
        <f>'CLIENT ENROLLMENT DISCHARGE '!M330</f>
        <v>0</v>
      </c>
      <c r="X331" s="76">
        <f>'CLIENT ENROLLMENT DISCHARGE '!L330</f>
        <v>0</v>
      </c>
      <c r="Y331" s="180"/>
    </row>
    <row r="332" spans="1:25" ht="50.1" customHeight="1" x14ac:dyDescent="0.25">
      <c r="A332" s="5">
        <v>317</v>
      </c>
      <c r="B332" s="10">
        <f>'CLIENT ENROLLMENT DISCHARGE '!B331</f>
        <v>0</v>
      </c>
      <c r="C332" s="4">
        <f>'CLIENT ENROLLMENT DISCHARGE '!C331</f>
        <v>0</v>
      </c>
      <c r="D332" s="51"/>
      <c r="E332" s="52"/>
      <c r="F332" s="51"/>
      <c r="G332" s="52"/>
      <c r="H332" s="62"/>
      <c r="I332" s="115"/>
      <c r="J332" s="143"/>
      <c r="K332" s="70"/>
      <c r="L332" s="52"/>
      <c r="M332" s="8"/>
      <c r="N332" s="7"/>
      <c r="O332" s="218">
        <f t="shared" si="8"/>
        <v>0</v>
      </c>
      <c r="P332" s="218">
        <f t="shared" si="9"/>
        <v>0</v>
      </c>
      <c r="Q332" s="59"/>
      <c r="R332" s="51"/>
      <c r="S332" s="65"/>
      <c r="T332" s="64"/>
      <c r="U332" s="67"/>
      <c r="V332" s="74"/>
      <c r="W332" s="6">
        <f>'CLIENT ENROLLMENT DISCHARGE '!M331</f>
        <v>0</v>
      </c>
      <c r="X332" s="76">
        <f>'CLIENT ENROLLMENT DISCHARGE '!L331</f>
        <v>0</v>
      </c>
      <c r="Y332" s="180"/>
    </row>
    <row r="333" spans="1:25" ht="50.1" customHeight="1" x14ac:dyDescent="0.25">
      <c r="A333" s="5">
        <v>318</v>
      </c>
      <c r="B333" s="10">
        <f>'CLIENT ENROLLMENT DISCHARGE '!B332</f>
        <v>0</v>
      </c>
      <c r="C333" s="4">
        <f>'CLIENT ENROLLMENT DISCHARGE '!C332</f>
        <v>0</v>
      </c>
      <c r="D333" s="52"/>
      <c r="E333" s="53"/>
      <c r="F333" s="52"/>
      <c r="G333" s="53"/>
      <c r="H333" s="63"/>
      <c r="I333" s="116"/>
      <c r="J333" s="144"/>
      <c r="K333" s="71"/>
      <c r="L333" s="53"/>
      <c r="M333" s="2"/>
      <c r="N333" s="1"/>
      <c r="O333" s="218">
        <f t="shared" si="8"/>
        <v>0</v>
      </c>
      <c r="P333" s="218">
        <f t="shared" si="9"/>
        <v>0</v>
      </c>
      <c r="Q333" s="60"/>
      <c r="R333" s="52"/>
      <c r="S333" s="66"/>
      <c r="T333" s="65"/>
      <c r="U333" s="68"/>
      <c r="V333" s="59"/>
      <c r="W333" s="6">
        <f>'CLIENT ENROLLMENT DISCHARGE '!M332</f>
        <v>0</v>
      </c>
      <c r="X333" s="76">
        <f>'CLIENT ENROLLMENT DISCHARGE '!L332</f>
        <v>0</v>
      </c>
      <c r="Y333" s="180"/>
    </row>
    <row r="334" spans="1:25" ht="50.1" customHeight="1" x14ac:dyDescent="0.25">
      <c r="A334" s="5">
        <v>319</v>
      </c>
      <c r="B334" s="10">
        <f>'CLIENT ENROLLMENT DISCHARGE '!B333</f>
        <v>0</v>
      </c>
      <c r="C334" s="4">
        <f>'CLIENT ENROLLMENT DISCHARGE '!C333</f>
        <v>0</v>
      </c>
      <c r="D334" s="51"/>
      <c r="E334" s="52"/>
      <c r="F334" s="51"/>
      <c r="G334" s="52"/>
      <c r="H334" s="62"/>
      <c r="I334" s="115"/>
      <c r="J334" s="143"/>
      <c r="K334" s="70"/>
      <c r="L334" s="52"/>
      <c r="M334" s="8"/>
      <c r="N334" s="7"/>
      <c r="O334" s="218">
        <f t="shared" si="8"/>
        <v>0</v>
      </c>
      <c r="P334" s="218">
        <f t="shared" si="9"/>
        <v>0</v>
      </c>
      <c r="Q334" s="59"/>
      <c r="R334" s="51"/>
      <c r="S334" s="65"/>
      <c r="T334" s="64"/>
      <c r="U334" s="67"/>
      <c r="V334" s="74"/>
      <c r="W334" s="6">
        <f>'CLIENT ENROLLMENT DISCHARGE '!M333</f>
        <v>0</v>
      </c>
      <c r="X334" s="76">
        <f>'CLIENT ENROLLMENT DISCHARGE '!L333</f>
        <v>0</v>
      </c>
      <c r="Y334" s="180"/>
    </row>
    <row r="335" spans="1:25" ht="50.1" customHeight="1" x14ac:dyDescent="0.25">
      <c r="A335" s="5">
        <v>320</v>
      </c>
      <c r="B335" s="10">
        <f>'CLIENT ENROLLMENT DISCHARGE '!B334</f>
        <v>0</v>
      </c>
      <c r="C335" s="4">
        <f>'CLIENT ENROLLMENT DISCHARGE '!C334</f>
        <v>0</v>
      </c>
      <c r="D335" s="52"/>
      <c r="E335" s="53"/>
      <c r="F335" s="52"/>
      <c r="G335" s="53"/>
      <c r="H335" s="63"/>
      <c r="I335" s="116"/>
      <c r="J335" s="144"/>
      <c r="K335" s="71"/>
      <c r="L335" s="53"/>
      <c r="M335" s="2"/>
      <c r="N335" s="1"/>
      <c r="O335" s="218">
        <f t="shared" si="8"/>
        <v>0</v>
      </c>
      <c r="P335" s="218">
        <f t="shared" si="9"/>
        <v>0</v>
      </c>
      <c r="Q335" s="60"/>
      <c r="R335" s="52"/>
      <c r="S335" s="66"/>
      <c r="T335" s="65"/>
      <c r="U335" s="68"/>
      <c r="V335" s="59"/>
      <c r="W335" s="6">
        <f>'CLIENT ENROLLMENT DISCHARGE '!M334</f>
        <v>0</v>
      </c>
      <c r="X335" s="76">
        <f>'CLIENT ENROLLMENT DISCHARGE '!L334</f>
        <v>0</v>
      </c>
      <c r="Y335" s="180"/>
    </row>
    <row r="336" spans="1:25" ht="50.1" customHeight="1" x14ac:dyDescent="0.25">
      <c r="A336" s="5">
        <v>321</v>
      </c>
      <c r="B336" s="10">
        <f>'CLIENT ENROLLMENT DISCHARGE '!B335</f>
        <v>0</v>
      </c>
      <c r="C336" s="4">
        <f>'CLIENT ENROLLMENT DISCHARGE '!C335</f>
        <v>0</v>
      </c>
      <c r="D336" s="51"/>
      <c r="E336" s="52"/>
      <c r="F336" s="51"/>
      <c r="G336" s="52"/>
      <c r="H336" s="62"/>
      <c r="I336" s="115"/>
      <c r="J336" s="143"/>
      <c r="K336" s="70"/>
      <c r="L336" s="52"/>
      <c r="M336" s="8"/>
      <c r="N336" s="7"/>
      <c r="O336" s="218">
        <f t="shared" si="8"/>
        <v>0</v>
      </c>
      <c r="P336" s="218">
        <f t="shared" si="9"/>
        <v>0</v>
      </c>
      <c r="Q336" s="59"/>
      <c r="R336" s="51"/>
      <c r="S336" s="65"/>
      <c r="T336" s="64"/>
      <c r="U336" s="67"/>
      <c r="V336" s="74"/>
      <c r="W336" s="6">
        <f>'CLIENT ENROLLMENT DISCHARGE '!M335</f>
        <v>0</v>
      </c>
      <c r="X336" s="76">
        <f>'CLIENT ENROLLMENT DISCHARGE '!L335</f>
        <v>0</v>
      </c>
      <c r="Y336" s="180"/>
    </row>
    <row r="337" spans="1:25" ht="50.1" customHeight="1" x14ac:dyDescent="0.25">
      <c r="A337" s="5">
        <v>322</v>
      </c>
      <c r="B337" s="10">
        <f>'CLIENT ENROLLMENT DISCHARGE '!B336</f>
        <v>0</v>
      </c>
      <c r="C337" s="4">
        <f>'CLIENT ENROLLMENT DISCHARGE '!C336</f>
        <v>0</v>
      </c>
      <c r="D337" s="52"/>
      <c r="E337" s="53"/>
      <c r="F337" s="52"/>
      <c r="G337" s="53"/>
      <c r="H337" s="63"/>
      <c r="I337" s="116"/>
      <c r="J337" s="144"/>
      <c r="K337" s="71"/>
      <c r="L337" s="53"/>
      <c r="M337" s="2"/>
      <c r="N337" s="1"/>
      <c r="O337" s="218">
        <f t="shared" ref="O337:O400" si="10">K337*N337</f>
        <v>0</v>
      </c>
      <c r="P337" s="218">
        <f t="shared" ref="P337:P400" si="11">O337</f>
        <v>0</v>
      </c>
      <c r="Q337" s="60"/>
      <c r="R337" s="52"/>
      <c r="S337" s="66"/>
      <c r="T337" s="65"/>
      <c r="U337" s="68"/>
      <c r="V337" s="59"/>
      <c r="W337" s="6">
        <f>'CLIENT ENROLLMENT DISCHARGE '!M336</f>
        <v>0</v>
      </c>
      <c r="X337" s="76">
        <f>'CLIENT ENROLLMENT DISCHARGE '!L336</f>
        <v>0</v>
      </c>
      <c r="Y337" s="180"/>
    </row>
    <row r="338" spans="1:25" ht="50.1" customHeight="1" x14ac:dyDescent="0.25">
      <c r="A338" s="5">
        <v>323</v>
      </c>
      <c r="B338" s="10">
        <f>'CLIENT ENROLLMENT DISCHARGE '!B337</f>
        <v>0</v>
      </c>
      <c r="C338" s="4">
        <f>'CLIENT ENROLLMENT DISCHARGE '!C337</f>
        <v>0</v>
      </c>
      <c r="D338" s="51"/>
      <c r="E338" s="52"/>
      <c r="F338" s="51"/>
      <c r="G338" s="52"/>
      <c r="H338" s="62"/>
      <c r="I338" s="115"/>
      <c r="J338" s="143"/>
      <c r="K338" s="70"/>
      <c r="L338" s="52"/>
      <c r="M338" s="8"/>
      <c r="N338" s="7"/>
      <c r="O338" s="218">
        <f t="shared" si="10"/>
        <v>0</v>
      </c>
      <c r="P338" s="218">
        <f t="shared" si="11"/>
        <v>0</v>
      </c>
      <c r="Q338" s="59"/>
      <c r="R338" s="51"/>
      <c r="S338" s="65"/>
      <c r="T338" s="64"/>
      <c r="U338" s="67"/>
      <c r="V338" s="74"/>
      <c r="W338" s="6">
        <f>'CLIENT ENROLLMENT DISCHARGE '!M337</f>
        <v>0</v>
      </c>
      <c r="X338" s="76">
        <f>'CLIENT ENROLLMENT DISCHARGE '!L337</f>
        <v>0</v>
      </c>
      <c r="Y338" s="180"/>
    </row>
    <row r="339" spans="1:25" ht="50.1" customHeight="1" x14ac:dyDescent="0.25">
      <c r="A339" s="5">
        <v>324</v>
      </c>
      <c r="B339" s="10">
        <f>'CLIENT ENROLLMENT DISCHARGE '!B338</f>
        <v>0</v>
      </c>
      <c r="C339" s="4">
        <f>'CLIENT ENROLLMENT DISCHARGE '!C338</f>
        <v>0</v>
      </c>
      <c r="D339" s="52"/>
      <c r="E339" s="53"/>
      <c r="F339" s="52"/>
      <c r="G339" s="53"/>
      <c r="H339" s="63"/>
      <c r="I339" s="116"/>
      <c r="J339" s="144"/>
      <c r="K339" s="71"/>
      <c r="L339" s="53"/>
      <c r="M339" s="2"/>
      <c r="N339" s="1"/>
      <c r="O339" s="218">
        <f t="shared" si="10"/>
        <v>0</v>
      </c>
      <c r="P339" s="218">
        <f t="shared" si="11"/>
        <v>0</v>
      </c>
      <c r="Q339" s="60"/>
      <c r="R339" s="52"/>
      <c r="S339" s="66"/>
      <c r="T339" s="65"/>
      <c r="U339" s="68"/>
      <c r="V339" s="59"/>
      <c r="W339" s="6">
        <f>'CLIENT ENROLLMENT DISCHARGE '!M338</f>
        <v>0</v>
      </c>
      <c r="X339" s="76">
        <f>'CLIENT ENROLLMENT DISCHARGE '!L338</f>
        <v>0</v>
      </c>
      <c r="Y339" s="180"/>
    </row>
    <row r="340" spans="1:25" ht="50.1" customHeight="1" x14ac:dyDescent="0.25">
      <c r="A340" s="5">
        <v>325</v>
      </c>
      <c r="B340" s="10">
        <f>'CLIENT ENROLLMENT DISCHARGE '!B339</f>
        <v>0</v>
      </c>
      <c r="C340" s="4">
        <f>'CLIENT ENROLLMENT DISCHARGE '!C339</f>
        <v>0</v>
      </c>
      <c r="D340" s="51"/>
      <c r="E340" s="52"/>
      <c r="F340" s="51"/>
      <c r="G340" s="52"/>
      <c r="H340" s="62"/>
      <c r="I340" s="115"/>
      <c r="J340" s="143"/>
      <c r="K340" s="70"/>
      <c r="L340" s="52"/>
      <c r="M340" s="8"/>
      <c r="N340" s="7"/>
      <c r="O340" s="218">
        <f t="shared" si="10"/>
        <v>0</v>
      </c>
      <c r="P340" s="218">
        <f t="shared" si="11"/>
        <v>0</v>
      </c>
      <c r="Q340" s="59"/>
      <c r="R340" s="51"/>
      <c r="S340" s="65"/>
      <c r="T340" s="64"/>
      <c r="U340" s="67"/>
      <c r="V340" s="74"/>
      <c r="W340" s="6">
        <f>'CLIENT ENROLLMENT DISCHARGE '!M339</f>
        <v>0</v>
      </c>
      <c r="X340" s="76">
        <f>'CLIENT ENROLLMENT DISCHARGE '!L339</f>
        <v>0</v>
      </c>
      <c r="Y340" s="180"/>
    </row>
    <row r="341" spans="1:25" ht="50.1" customHeight="1" x14ac:dyDescent="0.25">
      <c r="A341" s="5">
        <v>326</v>
      </c>
      <c r="B341" s="10">
        <f>'CLIENT ENROLLMENT DISCHARGE '!B340</f>
        <v>0</v>
      </c>
      <c r="C341" s="4">
        <f>'CLIENT ENROLLMENT DISCHARGE '!C340</f>
        <v>0</v>
      </c>
      <c r="D341" s="52"/>
      <c r="E341" s="53"/>
      <c r="F341" s="52"/>
      <c r="G341" s="53"/>
      <c r="H341" s="63"/>
      <c r="I341" s="116"/>
      <c r="J341" s="3"/>
      <c r="K341" s="71"/>
      <c r="L341" s="53"/>
      <c r="M341" s="2"/>
      <c r="N341" s="1"/>
      <c r="O341" s="218">
        <f t="shared" si="10"/>
        <v>0</v>
      </c>
      <c r="P341" s="218">
        <f t="shared" si="11"/>
        <v>0</v>
      </c>
      <c r="Q341" s="60"/>
      <c r="R341" s="52"/>
      <c r="S341" s="66"/>
      <c r="T341" s="65"/>
      <c r="U341" s="68"/>
      <c r="V341" s="75"/>
      <c r="W341" s="6">
        <f>'CLIENT ENROLLMENT DISCHARGE '!M340</f>
        <v>0</v>
      </c>
      <c r="X341" s="76">
        <f>'CLIENT ENROLLMENT DISCHARGE '!L340</f>
        <v>0</v>
      </c>
      <c r="Y341" s="180"/>
    </row>
    <row r="342" spans="1:25" ht="50.1" customHeight="1" x14ac:dyDescent="0.25">
      <c r="A342" s="5">
        <v>327</v>
      </c>
      <c r="B342" s="10">
        <f>'CLIENT ENROLLMENT DISCHARGE '!B341</f>
        <v>0</v>
      </c>
      <c r="C342" s="4">
        <f>'CLIENT ENROLLMENT DISCHARGE '!C341</f>
        <v>0</v>
      </c>
      <c r="D342" s="51"/>
      <c r="E342" s="52"/>
      <c r="F342" s="51"/>
      <c r="G342" s="52"/>
      <c r="H342" s="62"/>
      <c r="I342" s="115"/>
      <c r="J342" s="143"/>
      <c r="K342" s="70"/>
      <c r="L342" s="52"/>
      <c r="M342" s="8"/>
      <c r="N342" s="7"/>
      <c r="O342" s="218">
        <f t="shared" si="10"/>
        <v>0</v>
      </c>
      <c r="P342" s="218">
        <f t="shared" si="11"/>
        <v>0</v>
      </c>
      <c r="Q342" s="59"/>
      <c r="R342" s="51"/>
      <c r="S342" s="65"/>
      <c r="T342" s="64"/>
      <c r="U342" s="67"/>
      <c r="V342" s="74"/>
      <c r="W342" s="6">
        <f>'CLIENT ENROLLMENT DISCHARGE '!M341</f>
        <v>0</v>
      </c>
      <c r="X342" s="76">
        <f>'CLIENT ENROLLMENT DISCHARGE '!L341</f>
        <v>0</v>
      </c>
      <c r="Y342" s="180"/>
    </row>
    <row r="343" spans="1:25" ht="50.1" customHeight="1" x14ac:dyDescent="0.25">
      <c r="A343" s="5">
        <v>328</v>
      </c>
      <c r="B343" s="10">
        <f>'CLIENT ENROLLMENT DISCHARGE '!B342</f>
        <v>0</v>
      </c>
      <c r="C343" s="4">
        <f>'CLIENT ENROLLMENT DISCHARGE '!C342</f>
        <v>0</v>
      </c>
      <c r="D343" s="52"/>
      <c r="E343" s="53"/>
      <c r="F343" s="52"/>
      <c r="G343" s="53"/>
      <c r="H343" s="63"/>
      <c r="I343" s="116"/>
      <c r="J343" s="144"/>
      <c r="K343" s="71"/>
      <c r="L343" s="53"/>
      <c r="M343" s="2"/>
      <c r="N343" s="1"/>
      <c r="O343" s="218">
        <f t="shared" si="10"/>
        <v>0</v>
      </c>
      <c r="P343" s="218">
        <f t="shared" si="11"/>
        <v>0</v>
      </c>
      <c r="Q343" s="60"/>
      <c r="R343" s="52"/>
      <c r="S343" s="66"/>
      <c r="T343" s="65"/>
      <c r="U343" s="68"/>
      <c r="V343" s="59"/>
      <c r="W343" s="6">
        <f>'CLIENT ENROLLMENT DISCHARGE '!M342</f>
        <v>0</v>
      </c>
      <c r="X343" s="76">
        <f>'CLIENT ENROLLMENT DISCHARGE '!L342</f>
        <v>0</v>
      </c>
      <c r="Y343" s="180"/>
    </row>
    <row r="344" spans="1:25" ht="50.1" customHeight="1" x14ac:dyDescent="0.25">
      <c r="A344" s="5">
        <v>329</v>
      </c>
      <c r="B344" s="10">
        <f>'CLIENT ENROLLMENT DISCHARGE '!B343</f>
        <v>0</v>
      </c>
      <c r="C344" s="4">
        <f>'CLIENT ENROLLMENT DISCHARGE '!C343</f>
        <v>0</v>
      </c>
      <c r="D344" s="51"/>
      <c r="E344" s="52"/>
      <c r="F344" s="51"/>
      <c r="G344" s="52"/>
      <c r="H344" s="62"/>
      <c r="I344" s="115"/>
      <c r="J344" s="143"/>
      <c r="K344" s="70"/>
      <c r="L344" s="52"/>
      <c r="M344" s="8"/>
      <c r="N344" s="7"/>
      <c r="O344" s="218">
        <f t="shared" si="10"/>
        <v>0</v>
      </c>
      <c r="P344" s="218">
        <f t="shared" si="11"/>
        <v>0</v>
      </c>
      <c r="Q344" s="59"/>
      <c r="R344" s="51"/>
      <c r="S344" s="65"/>
      <c r="T344" s="64"/>
      <c r="U344" s="67"/>
      <c r="V344" s="74"/>
      <c r="W344" s="6">
        <f>'CLIENT ENROLLMENT DISCHARGE '!M343</f>
        <v>0</v>
      </c>
      <c r="X344" s="76">
        <f>'CLIENT ENROLLMENT DISCHARGE '!L343</f>
        <v>0</v>
      </c>
      <c r="Y344" s="180"/>
    </row>
    <row r="345" spans="1:25" ht="50.1" customHeight="1" x14ac:dyDescent="0.25">
      <c r="A345" s="5">
        <v>330</v>
      </c>
      <c r="B345" s="10">
        <f>'CLIENT ENROLLMENT DISCHARGE '!B344</f>
        <v>0</v>
      </c>
      <c r="C345" s="4">
        <f>'CLIENT ENROLLMENT DISCHARGE '!C344</f>
        <v>0</v>
      </c>
      <c r="D345" s="52"/>
      <c r="E345" s="53"/>
      <c r="F345" s="52"/>
      <c r="G345" s="53"/>
      <c r="H345" s="63"/>
      <c r="I345" s="116"/>
      <c r="J345" s="144"/>
      <c r="K345" s="71"/>
      <c r="L345" s="53"/>
      <c r="M345" s="2"/>
      <c r="N345" s="1"/>
      <c r="O345" s="218">
        <f t="shared" si="10"/>
        <v>0</v>
      </c>
      <c r="P345" s="218">
        <f t="shared" si="11"/>
        <v>0</v>
      </c>
      <c r="Q345" s="60"/>
      <c r="R345" s="52"/>
      <c r="S345" s="66"/>
      <c r="T345" s="65"/>
      <c r="U345" s="68"/>
      <c r="V345" s="59"/>
      <c r="W345" s="6">
        <f>'CLIENT ENROLLMENT DISCHARGE '!M344</f>
        <v>0</v>
      </c>
      <c r="X345" s="76">
        <f>'CLIENT ENROLLMENT DISCHARGE '!L344</f>
        <v>0</v>
      </c>
      <c r="Y345" s="180"/>
    </row>
    <row r="346" spans="1:25" ht="50.1" customHeight="1" x14ac:dyDescent="0.25">
      <c r="A346" s="5">
        <v>331</v>
      </c>
      <c r="B346" s="10">
        <f>'CLIENT ENROLLMENT DISCHARGE '!B345</f>
        <v>0</v>
      </c>
      <c r="C346" s="4">
        <f>'CLIENT ENROLLMENT DISCHARGE '!C345</f>
        <v>0</v>
      </c>
      <c r="D346" s="51"/>
      <c r="E346" s="52"/>
      <c r="F346" s="51"/>
      <c r="G346" s="52"/>
      <c r="H346" s="62"/>
      <c r="I346" s="115"/>
      <c r="J346" s="143"/>
      <c r="K346" s="70"/>
      <c r="L346" s="52"/>
      <c r="M346" s="8"/>
      <c r="N346" s="7"/>
      <c r="O346" s="218">
        <f t="shared" si="10"/>
        <v>0</v>
      </c>
      <c r="P346" s="218">
        <f t="shared" si="11"/>
        <v>0</v>
      </c>
      <c r="Q346" s="59"/>
      <c r="R346" s="51"/>
      <c r="S346" s="65"/>
      <c r="T346" s="64"/>
      <c r="U346" s="67"/>
      <c r="V346" s="74"/>
      <c r="W346" s="6">
        <f>'CLIENT ENROLLMENT DISCHARGE '!M345</f>
        <v>0</v>
      </c>
      <c r="X346" s="76">
        <f>'CLIENT ENROLLMENT DISCHARGE '!L345</f>
        <v>0</v>
      </c>
      <c r="Y346" s="180"/>
    </row>
    <row r="347" spans="1:25" ht="50.1" customHeight="1" x14ac:dyDescent="0.25">
      <c r="A347" s="5">
        <v>332</v>
      </c>
      <c r="B347" s="10">
        <f>'CLIENT ENROLLMENT DISCHARGE '!B346</f>
        <v>0</v>
      </c>
      <c r="C347" s="4">
        <f>'CLIENT ENROLLMENT DISCHARGE '!C346</f>
        <v>0</v>
      </c>
      <c r="D347" s="52"/>
      <c r="E347" s="53"/>
      <c r="F347" s="52"/>
      <c r="G347" s="53"/>
      <c r="H347" s="63"/>
      <c r="I347" s="116"/>
      <c r="J347" s="144"/>
      <c r="K347" s="71"/>
      <c r="L347" s="53"/>
      <c r="M347" s="2"/>
      <c r="N347" s="1"/>
      <c r="O347" s="218">
        <f t="shared" si="10"/>
        <v>0</v>
      </c>
      <c r="P347" s="218">
        <f t="shared" si="11"/>
        <v>0</v>
      </c>
      <c r="Q347" s="60"/>
      <c r="R347" s="52"/>
      <c r="S347" s="66"/>
      <c r="T347" s="65"/>
      <c r="U347" s="68"/>
      <c r="V347" s="59"/>
      <c r="W347" s="6">
        <f>'CLIENT ENROLLMENT DISCHARGE '!M346</f>
        <v>0</v>
      </c>
      <c r="X347" s="76">
        <f>'CLIENT ENROLLMENT DISCHARGE '!L346</f>
        <v>0</v>
      </c>
      <c r="Y347" s="180"/>
    </row>
    <row r="348" spans="1:25" ht="50.1" customHeight="1" x14ac:dyDescent="0.25">
      <c r="A348" s="5">
        <v>333</v>
      </c>
      <c r="B348" s="10">
        <f>'CLIENT ENROLLMENT DISCHARGE '!B347</f>
        <v>0</v>
      </c>
      <c r="C348" s="4">
        <f>'CLIENT ENROLLMENT DISCHARGE '!C347</f>
        <v>0</v>
      </c>
      <c r="D348" s="51"/>
      <c r="E348" s="52"/>
      <c r="F348" s="51"/>
      <c r="G348" s="52"/>
      <c r="H348" s="62"/>
      <c r="I348" s="115"/>
      <c r="J348" s="143"/>
      <c r="K348" s="70"/>
      <c r="L348" s="52"/>
      <c r="M348" s="8"/>
      <c r="N348" s="7"/>
      <c r="O348" s="218">
        <f t="shared" si="10"/>
        <v>0</v>
      </c>
      <c r="P348" s="218">
        <f t="shared" si="11"/>
        <v>0</v>
      </c>
      <c r="Q348" s="59"/>
      <c r="R348" s="51"/>
      <c r="S348" s="65"/>
      <c r="T348" s="64"/>
      <c r="U348" s="67"/>
      <c r="V348" s="74"/>
      <c r="W348" s="6">
        <f>'CLIENT ENROLLMENT DISCHARGE '!M347</f>
        <v>0</v>
      </c>
      <c r="X348" s="76">
        <f>'CLIENT ENROLLMENT DISCHARGE '!L347</f>
        <v>0</v>
      </c>
      <c r="Y348" s="180"/>
    </row>
    <row r="349" spans="1:25" ht="50.1" customHeight="1" x14ac:dyDescent="0.25">
      <c r="A349" s="5">
        <v>334</v>
      </c>
      <c r="B349" s="10">
        <f>'CLIENT ENROLLMENT DISCHARGE '!B348</f>
        <v>0</v>
      </c>
      <c r="C349" s="4">
        <f>'CLIENT ENROLLMENT DISCHARGE '!C348</f>
        <v>0</v>
      </c>
      <c r="D349" s="52"/>
      <c r="E349" s="53"/>
      <c r="F349" s="52"/>
      <c r="G349" s="53"/>
      <c r="H349" s="63"/>
      <c r="I349" s="116"/>
      <c r="J349" s="144"/>
      <c r="K349" s="71"/>
      <c r="L349" s="53"/>
      <c r="M349" s="2"/>
      <c r="N349" s="1"/>
      <c r="O349" s="218">
        <f t="shared" si="10"/>
        <v>0</v>
      </c>
      <c r="P349" s="218">
        <f t="shared" si="11"/>
        <v>0</v>
      </c>
      <c r="Q349" s="60"/>
      <c r="R349" s="52"/>
      <c r="S349" s="66"/>
      <c r="T349" s="65"/>
      <c r="U349" s="68"/>
      <c r="V349" s="59"/>
      <c r="W349" s="6">
        <f>'CLIENT ENROLLMENT DISCHARGE '!M348</f>
        <v>0</v>
      </c>
      <c r="X349" s="76">
        <f>'CLIENT ENROLLMENT DISCHARGE '!L348</f>
        <v>0</v>
      </c>
      <c r="Y349" s="180"/>
    </row>
    <row r="350" spans="1:25" ht="50.1" customHeight="1" x14ac:dyDescent="0.25">
      <c r="A350" s="5">
        <v>335</v>
      </c>
      <c r="B350" s="10">
        <f>'CLIENT ENROLLMENT DISCHARGE '!B349</f>
        <v>0</v>
      </c>
      <c r="C350" s="4">
        <f>'CLIENT ENROLLMENT DISCHARGE '!C349</f>
        <v>0</v>
      </c>
      <c r="D350" s="51"/>
      <c r="E350" s="52"/>
      <c r="F350" s="51"/>
      <c r="G350" s="52"/>
      <c r="H350" s="62"/>
      <c r="I350" s="115"/>
      <c r="J350" s="143"/>
      <c r="K350" s="70"/>
      <c r="L350" s="52"/>
      <c r="M350" s="8"/>
      <c r="N350" s="7"/>
      <c r="O350" s="218">
        <f t="shared" si="10"/>
        <v>0</v>
      </c>
      <c r="P350" s="218">
        <f t="shared" si="11"/>
        <v>0</v>
      </c>
      <c r="Q350" s="59"/>
      <c r="R350" s="51"/>
      <c r="S350" s="65"/>
      <c r="T350" s="64"/>
      <c r="U350" s="67"/>
      <c r="V350" s="74"/>
      <c r="W350" s="6">
        <f>'CLIENT ENROLLMENT DISCHARGE '!M349</f>
        <v>0</v>
      </c>
      <c r="X350" s="76">
        <f>'CLIENT ENROLLMENT DISCHARGE '!L349</f>
        <v>0</v>
      </c>
      <c r="Y350" s="180"/>
    </row>
    <row r="351" spans="1:25" ht="50.1" customHeight="1" x14ac:dyDescent="0.25">
      <c r="A351" s="5">
        <v>336</v>
      </c>
      <c r="B351" s="10">
        <f>'CLIENT ENROLLMENT DISCHARGE '!B350</f>
        <v>0</v>
      </c>
      <c r="C351" s="4">
        <f>'CLIENT ENROLLMENT DISCHARGE '!C350</f>
        <v>0</v>
      </c>
      <c r="D351" s="52"/>
      <c r="E351" s="53"/>
      <c r="F351" s="52"/>
      <c r="G351" s="53"/>
      <c r="H351" s="63"/>
      <c r="I351" s="116"/>
      <c r="J351" s="144"/>
      <c r="K351" s="71"/>
      <c r="L351" s="53"/>
      <c r="M351" s="2"/>
      <c r="N351" s="1"/>
      <c r="O351" s="218">
        <f t="shared" si="10"/>
        <v>0</v>
      </c>
      <c r="P351" s="218">
        <f t="shared" si="11"/>
        <v>0</v>
      </c>
      <c r="Q351" s="60"/>
      <c r="R351" s="52"/>
      <c r="S351" s="66"/>
      <c r="T351" s="65"/>
      <c r="U351" s="68"/>
      <c r="V351" s="75"/>
      <c r="W351" s="6">
        <f>'CLIENT ENROLLMENT DISCHARGE '!M350</f>
        <v>0</v>
      </c>
      <c r="X351" s="76">
        <f>'CLIENT ENROLLMENT DISCHARGE '!L350</f>
        <v>0</v>
      </c>
      <c r="Y351" s="180"/>
    </row>
    <row r="352" spans="1:25" ht="50.1" customHeight="1" x14ac:dyDescent="0.25">
      <c r="A352" s="5">
        <v>337</v>
      </c>
      <c r="B352" s="10">
        <f>'CLIENT ENROLLMENT DISCHARGE '!B351</f>
        <v>0</v>
      </c>
      <c r="C352" s="4">
        <f>'CLIENT ENROLLMENT DISCHARGE '!C351</f>
        <v>0</v>
      </c>
      <c r="D352" s="51"/>
      <c r="E352" s="52"/>
      <c r="F352" s="51"/>
      <c r="G352" s="52"/>
      <c r="H352" s="62"/>
      <c r="I352" s="115"/>
      <c r="J352" s="143"/>
      <c r="K352" s="70"/>
      <c r="L352" s="52"/>
      <c r="M352" s="8"/>
      <c r="N352" s="7"/>
      <c r="O352" s="218">
        <f t="shared" si="10"/>
        <v>0</v>
      </c>
      <c r="P352" s="218">
        <f t="shared" si="11"/>
        <v>0</v>
      </c>
      <c r="Q352" s="59"/>
      <c r="R352" s="51"/>
      <c r="S352" s="65"/>
      <c r="T352" s="64"/>
      <c r="U352" s="67"/>
      <c r="V352" s="74"/>
      <c r="W352" s="6">
        <f>'CLIENT ENROLLMENT DISCHARGE '!M351</f>
        <v>0</v>
      </c>
      <c r="X352" s="76">
        <f>'CLIENT ENROLLMENT DISCHARGE '!L351</f>
        <v>0</v>
      </c>
      <c r="Y352" s="180"/>
    </row>
    <row r="353" spans="1:25" ht="50.1" customHeight="1" x14ac:dyDescent="0.25">
      <c r="A353" s="5">
        <v>338</v>
      </c>
      <c r="B353" s="10">
        <f>'CLIENT ENROLLMENT DISCHARGE '!B352</f>
        <v>0</v>
      </c>
      <c r="C353" s="4">
        <f>'CLIENT ENROLLMENT DISCHARGE '!C352</f>
        <v>0</v>
      </c>
      <c r="D353" s="52"/>
      <c r="E353" s="53"/>
      <c r="F353" s="52"/>
      <c r="G353" s="53"/>
      <c r="H353" s="63"/>
      <c r="I353" s="116"/>
      <c r="J353" s="144"/>
      <c r="K353" s="71"/>
      <c r="L353" s="53"/>
      <c r="M353" s="2"/>
      <c r="N353" s="1"/>
      <c r="O353" s="218">
        <f t="shared" si="10"/>
        <v>0</v>
      </c>
      <c r="P353" s="218">
        <f t="shared" si="11"/>
        <v>0</v>
      </c>
      <c r="Q353" s="60"/>
      <c r="R353" s="52"/>
      <c r="S353" s="66"/>
      <c r="T353" s="65"/>
      <c r="U353" s="68"/>
      <c r="V353" s="59"/>
      <c r="W353" s="6">
        <f>'CLIENT ENROLLMENT DISCHARGE '!M352</f>
        <v>0</v>
      </c>
      <c r="X353" s="76">
        <f>'CLIENT ENROLLMENT DISCHARGE '!L352</f>
        <v>0</v>
      </c>
      <c r="Y353" s="180"/>
    </row>
    <row r="354" spans="1:25" ht="50.1" customHeight="1" x14ac:dyDescent="0.25">
      <c r="A354" s="5">
        <v>339</v>
      </c>
      <c r="B354" s="10">
        <f>'CLIENT ENROLLMENT DISCHARGE '!B353</f>
        <v>0</v>
      </c>
      <c r="C354" s="4">
        <f>'CLIENT ENROLLMENT DISCHARGE '!C353</f>
        <v>0</v>
      </c>
      <c r="D354" s="51"/>
      <c r="E354" s="52"/>
      <c r="F354" s="51"/>
      <c r="G354" s="52"/>
      <c r="H354" s="62"/>
      <c r="I354" s="115"/>
      <c r="J354" s="143"/>
      <c r="K354" s="70"/>
      <c r="L354" s="52"/>
      <c r="M354" s="8"/>
      <c r="N354" s="7"/>
      <c r="O354" s="218">
        <f t="shared" si="10"/>
        <v>0</v>
      </c>
      <c r="P354" s="218">
        <f t="shared" si="11"/>
        <v>0</v>
      </c>
      <c r="Q354" s="59"/>
      <c r="R354" s="51"/>
      <c r="S354" s="65"/>
      <c r="T354" s="64"/>
      <c r="U354" s="67"/>
      <c r="V354" s="74"/>
      <c r="W354" s="6">
        <f>'CLIENT ENROLLMENT DISCHARGE '!M353</f>
        <v>0</v>
      </c>
      <c r="X354" s="76">
        <f>'CLIENT ENROLLMENT DISCHARGE '!L353</f>
        <v>0</v>
      </c>
      <c r="Y354" s="180"/>
    </row>
    <row r="355" spans="1:25" ht="50.1" customHeight="1" x14ac:dyDescent="0.25">
      <c r="A355" s="5">
        <v>340</v>
      </c>
      <c r="B355" s="10">
        <f>'CLIENT ENROLLMENT DISCHARGE '!B354</f>
        <v>0</v>
      </c>
      <c r="C355" s="4">
        <f>'CLIENT ENROLLMENT DISCHARGE '!C354</f>
        <v>0</v>
      </c>
      <c r="D355" s="52"/>
      <c r="E355" s="53"/>
      <c r="F355" s="52"/>
      <c r="G355" s="53"/>
      <c r="H355" s="63"/>
      <c r="I355" s="116"/>
      <c r="J355" s="144"/>
      <c r="K355" s="71"/>
      <c r="L355" s="53"/>
      <c r="M355" s="2"/>
      <c r="N355" s="1"/>
      <c r="O355" s="218">
        <f t="shared" si="10"/>
        <v>0</v>
      </c>
      <c r="P355" s="218">
        <f t="shared" si="11"/>
        <v>0</v>
      </c>
      <c r="Q355" s="60"/>
      <c r="R355" s="52"/>
      <c r="S355" s="66"/>
      <c r="T355" s="65"/>
      <c r="U355" s="68"/>
      <c r="V355" s="59"/>
      <c r="W355" s="6">
        <f>'CLIENT ENROLLMENT DISCHARGE '!M354</f>
        <v>0</v>
      </c>
      <c r="X355" s="76">
        <f>'CLIENT ENROLLMENT DISCHARGE '!L354</f>
        <v>0</v>
      </c>
      <c r="Y355" s="180"/>
    </row>
    <row r="356" spans="1:25" ht="50.1" customHeight="1" x14ac:dyDescent="0.25">
      <c r="A356" s="5">
        <v>341</v>
      </c>
      <c r="B356" s="10">
        <f>'CLIENT ENROLLMENT DISCHARGE '!B355</f>
        <v>0</v>
      </c>
      <c r="C356" s="4">
        <f>'CLIENT ENROLLMENT DISCHARGE '!C355</f>
        <v>0</v>
      </c>
      <c r="D356" s="51"/>
      <c r="E356" s="52"/>
      <c r="F356" s="51"/>
      <c r="G356" s="52"/>
      <c r="H356" s="62"/>
      <c r="I356" s="115"/>
      <c r="J356" s="143"/>
      <c r="K356" s="70"/>
      <c r="L356" s="52"/>
      <c r="M356" s="8"/>
      <c r="N356" s="7"/>
      <c r="O356" s="218">
        <f t="shared" si="10"/>
        <v>0</v>
      </c>
      <c r="P356" s="218">
        <f t="shared" si="11"/>
        <v>0</v>
      </c>
      <c r="Q356" s="59"/>
      <c r="R356" s="51"/>
      <c r="S356" s="65"/>
      <c r="T356" s="64"/>
      <c r="U356" s="67"/>
      <c r="V356" s="74"/>
      <c r="W356" s="6">
        <f>'CLIENT ENROLLMENT DISCHARGE '!M355</f>
        <v>0</v>
      </c>
      <c r="X356" s="76">
        <f>'CLIENT ENROLLMENT DISCHARGE '!L355</f>
        <v>0</v>
      </c>
      <c r="Y356" s="180"/>
    </row>
    <row r="357" spans="1:25" ht="50.1" customHeight="1" x14ac:dyDescent="0.25">
      <c r="A357" s="5">
        <v>342</v>
      </c>
      <c r="B357" s="10">
        <f>'CLIENT ENROLLMENT DISCHARGE '!B356</f>
        <v>0</v>
      </c>
      <c r="C357" s="4">
        <f>'CLIENT ENROLLMENT DISCHARGE '!C356</f>
        <v>0</v>
      </c>
      <c r="D357" s="52"/>
      <c r="E357" s="53"/>
      <c r="F357" s="52"/>
      <c r="G357" s="53"/>
      <c r="H357" s="63"/>
      <c r="I357" s="116"/>
      <c r="J357" s="144"/>
      <c r="K357" s="71"/>
      <c r="L357" s="53"/>
      <c r="M357" s="2"/>
      <c r="N357" s="1"/>
      <c r="O357" s="218">
        <f t="shared" si="10"/>
        <v>0</v>
      </c>
      <c r="P357" s="218">
        <f t="shared" si="11"/>
        <v>0</v>
      </c>
      <c r="Q357" s="60"/>
      <c r="R357" s="52"/>
      <c r="S357" s="66"/>
      <c r="T357" s="65"/>
      <c r="U357" s="68"/>
      <c r="V357" s="59"/>
      <c r="W357" s="6">
        <f>'CLIENT ENROLLMENT DISCHARGE '!M356</f>
        <v>0</v>
      </c>
      <c r="X357" s="76">
        <f>'CLIENT ENROLLMENT DISCHARGE '!L356</f>
        <v>0</v>
      </c>
      <c r="Y357" s="180"/>
    </row>
    <row r="358" spans="1:25" ht="50.1" customHeight="1" x14ac:dyDescent="0.25">
      <c r="A358" s="5">
        <v>343</v>
      </c>
      <c r="B358" s="10">
        <f>'CLIENT ENROLLMENT DISCHARGE '!B357</f>
        <v>0</v>
      </c>
      <c r="C358" s="4">
        <f>'CLIENT ENROLLMENT DISCHARGE '!C357</f>
        <v>0</v>
      </c>
      <c r="D358" s="51"/>
      <c r="E358" s="52"/>
      <c r="F358" s="51"/>
      <c r="G358" s="52"/>
      <c r="H358" s="62"/>
      <c r="I358" s="115"/>
      <c r="J358" s="143"/>
      <c r="K358" s="70"/>
      <c r="L358" s="52"/>
      <c r="M358" s="8"/>
      <c r="N358" s="7"/>
      <c r="O358" s="218">
        <f t="shared" si="10"/>
        <v>0</v>
      </c>
      <c r="P358" s="218">
        <f t="shared" si="11"/>
        <v>0</v>
      </c>
      <c r="Q358" s="59"/>
      <c r="R358" s="51"/>
      <c r="S358" s="65"/>
      <c r="T358" s="64"/>
      <c r="U358" s="67"/>
      <c r="V358" s="74"/>
      <c r="W358" s="6">
        <f>'CLIENT ENROLLMENT DISCHARGE '!M357</f>
        <v>0</v>
      </c>
      <c r="X358" s="76">
        <f>'CLIENT ENROLLMENT DISCHARGE '!L357</f>
        <v>0</v>
      </c>
      <c r="Y358" s="180"/>
    </row>
    <row r="359" spans="1:25" ht="50.1" customHeight="1" x14ac:dyDescent="0.25">
      <c r="A359" s="5">
        <v>344</v>
      </c>
      <c r="B359" s="10">
        <f>'CLIENT ENROLLMENT DISCHARGE '!B358</f>
        <v>0</v>
      </c>
      <c r="C359" s="4">
        <f>'CLIENT ENROLLMENT DISCHARGE '!C358</f>
        <v>0</v>
      </c>
      <c r="D359" s="52"/>
      <c r="E359" s="53"/>
      <c r="F359" s="52"/>
      <c r="G359" s="53"/>
      <c r="H359" s="63"/>
      <c r="I359" s="116"/>
      <c r="J359" s="144"/>
      <c r="K359" s="71"/>
      <c r="L359" s="53"/>
      <c r="M359" s="2"/>
      <c r="N359" s="1"/>
      <c r="O359" s="218">
        <f t="shared" si="10"/>
        <v>0</v>
      </c>
      <c r="P359" s="218">
        <f t="shared" si="11"/>
        <v>0</v>
      </c>
      <c r="Q359" s="60"/>
      <c r="R359" s="52"/>
      <c r="S359" s="66"/>
      <c r="T359" s="65"/>
      <c r="U359" s="68"/>
      <c r="V359" s="59"/>
      <c r="W359" s="6">
        <f>'CLIENT ENROLLMENT DISCHARGE '!M358</f>
        <v>0</v>
      </c>
      <c r="X359" s="76">
        <f>'CLIENT ENROLLMENT DISCHARGE '!L358</f>
        <v>0</v>
      </c>
      <c r="Y359" s="180"/>
    </row>
    <row r="360" spans="1:25" ht="50.1" customHeight="1" x14ac:dyDescent="0.25">
      <c r="A360" s="5">
        <v>345</v>
      </c>
      <c r="B360" s="10">
        <f>'CLIENT ENROLLMENT DISCHARGE '!B359</f>
        <v>0</v>
      </c>
      <c r="C360" s="4">
        <f>'CLIENT ENROLLMENT DISCHARGE '!C359</f>
        <v>0</v>
      </c>
      <c r="D360" s="51"/>
      <c r="E360" s="52"/>
      <c r="F360" s="51"/>
      <c r="G360" s="52"/>
      <c r="H360" s="62"/>
      <c r="I360" s="115"/>
      <c r="J360" s="143"/>
      <c r="K360" s="70"/>
      <c r="L360" s="52"/>
      <c r="M360" s="8"/>
      <c r="N360" s="7"/>
      <c r="O360" s="218">
        <f t="shared" si="10"/>
        <v>0</v>
      </c>
      <c r="P360" s="218">
        <f t="shared" si="11"/>
        <v>0</v>
      </c>
      <c r="Q360" s="59"/>
      <c r="R360" s="51"/>
      <c r="S360" s="65"/>
      <c r="T360" s="64"/>
      <c r="U360" s="67"/>
      <c r="V360" s="74"/>
      <c r="W360" s="6">
        <f>'CLIENT ENROLLMENT DISCHARGE '!M359</f>
        <v>0</v>
      </c>
      <c r="X360" s="76">
        <f>'CLIENT ENROLLMENT DISCHARGE '!L359</f>
        <v>0</v>
      </c>
      <c r="Y360" s="180"/>
    </row>
    <row r="361" spans="1:25" ht="50.1" customHeight="1" x14ac:dyDescent="0.25">
      <c r="A361" s="5">
        <v>346</v>
      </c>
      <c r="B361" s="10">
        <f>'CLIENT ENROLLMENT DISCHARGE '!B360</f>
        <v>0</v>
      </c>
      <c r="C361" s="4">
        <f>'CLIENT ENROLLMENT DISCHARGE '!C360</f>
        <v>0</v>
      </c>
      <c r="D361" s="52"/>
      <c r="E361" s="53"/>
      <c r="F361" s="52"/>
      <c r="G361" s="53"/>
      <c r="H361" s="63"/>
      <c r="I361" s="116"/>
      <c r="J361" s="3"/>
      <c r="K361" s="71"/>
      <c r="L361" s="53"/>
      <c r="M361" s="2"/>
      <c r="N361" s="1"/>
      <c r="O361" s="218">
        <f t="shared" si="10"/>
        <v>0</v>
      </c>
      <c r="P361" s="218">
        <f t="shared" si="11"/>
        <v>0</v>
      </c>
      <c r="Q361" s="60"/>
      <c r="R361" s="52"/>
      <c r="S361" s="66"/>
      <c r="T361" s="65"/>
      <c r="U361" s="68"/>
      <c r="V361" s="75"/>
      <c r="W361" s="6">
        <f>'CLIENT ENROLLMENT DISCHARGE '!M360</f>
        <v>0</v>
      </c>
      <c r="X361" s="76">
        <f>'CLIENT ENROLLMENT DISCHARGE '!L360</f>
        <v>0</v>
      </c>
      <c r="Y361" s="180"/>
    </row>
    <row r="362" spans="1:25" ht="50.1" customHeight="1" x14ac:dyDescent="0.25">
      <c r="A362" s="5">
        <v>347</v>
      </c>
      <c r="B362" s="10">
        <f>'CLIENT ENROLLMENT DISCHARGE '!B361</f>
        <v>0</v>
      </c>
      <c r="C362" s="4">
        <f>'CLIENT ENROLLMENT DISCHARGE '!C361</f>
        <v>0</v>
      </c>
      <c r="D362" s="51"/>
      <c r="E362" s="52"/>
      <c r="F362" s="51"/>
      <c r="G362" s="52"/>
      <c r="H362" s="62"/>
      <c r="I362" s="115"/>
      <c r="J362" s="143"/>
      <c r="K362" s="70"/>
      <c r="L362" s="52"/>
      <c r="M362" s="8"/>
      <c r="N362" s="7"/>
      <c r="O362" s="218">
        <f t="shared" si="10"/>
        <v>0</v>
      </c>
      <c r="P362" s="218">
        <f t="shared" si="11"/>
        <v>0</v>
      </c>
      <c r="Q362" s="59"/>
      <c r="R362" s="51"/>
      <c r="S362" s="65"/>
      <c r="T362" s="64"/>
      <c r="U362" s="67"/>
      <c r="V362" s="74"/>
      <c r="W362" s="6">
        <f>'CLIENT ENROLLMENT DISCHARGE '!M361</f>
        <v>0</v>
      </c>
      <c r="X362" s="76">
        <f>'CLIENT ENROLLMENT DISCHARGE '!L361</f>
        <v>0</v>
      </c>
      <c r="Y362" s="180"/>
    </row>
    <row r="363" spans="1:25" ht="50.1" customHeight="1" x14ac:dyDescent="0.25">
      <c r="A363" s="5">
        <v>348</v>
      </c>
      <c r="B363" s="10">
        <f>'CLIENT ENROLLMENT DISCHARGE '!B362</f>
        <v>0</v>
      </c>
      <c r="C363" s="4">
        <f>'CLIENT ENROLLMENT DISCHARGE '!C362</f>
        <v>0</v>
      </c>
      <c r="D363" s="52"/>
      <c r="E363" s="53"/>
      <c r="F363" s="52"/>
      <c r="G363" s="53"/>
      <c r="H363" s="63"/>
      <c r="I363" s="116"/>
      <c r="J363" s="144"/>
      <c r="K363" s="71"/>
      <c r="L363" s="53"/>
      <c r="M363" s="2"/>
      <c r="N363" s="1"/>
      <c r="O363" s="218">
        <f t="shared" si="10"/>
        <v>0</v>
      </c>
      <c r="P363" s="218">
        <f t="shared" si="11"/>
        <v>0</v>
      </c>
      <c r="Q363" s="60"/>
      <c r="R363" s="52"/>
      <c r="S363" s="66"/>
      <c r="T363" s="65"/>
      <c r="U363" s="68"/>
      <c r="V363" s="59"/>
      <c r="W363" s="6">
        <f>'CLIENT ENROLLMENT DISCHARGE '!M362</f>
        <v>0</v>
      </c>
      <c r="X363" s="76">
        <f>'CLIENT ENROLLMENT DISCHARGE '!L362</f>
        <v>0</v>
      </c>
      <c r="Y363" s="180"/>
    </row>
    <row r="364" spans="1:25" ht="50.1" customHeight="1" x14ac:dyDescent="0.25">
      <c r="A364" s="5">
        <v>349</v>
      </c>
      <c r="B364" s="10">
        <f>'CLIENT ENROLLMENT DISCHARGE '!B363</f>
        <v>0</v>
      </c>
      <c r="C364" s="4">
        <f>'CLIENT ENROLLMENT DISCHARGE '!C363</f>
        <v>0</v>
      </c>
      <c r="D364" s="51"/>
      <c r="E364" s="52"/>
      <c r="F364" s="51"/>
      <c r="G364" s="52"/>
      <c r="H364" s="62"/>
      <c r="I364" s="115"/>
      <c r="J364" s="143"/>
      <c r="K364" s="70"/>
      <c r="L364" s="52"/>
      <c r="M364" s="8"/>
      <c r="N364" s="7"/>
      <c r="O364" s="218">
        <f t="shared" si="10"/>
        <v>0</v>
      </c>
      <c r="P364" s="218">
        <f t="shared" si="11"/>
        <v>0</v>
      </c>
      <c r="Q364" s="59"/>
      <c r="R364" s="51"/>
      <c r="S364" s="65"/>
      <c r="T364" s="64"/>
      <c r="U364" s="67"/>
      <c r="V364" s="74"/>
      <c r="W364" s="6">
        <f>'CLIENT ENROLLMENT DISCHARGE '!M363</f>
        <v>0</v>
      </c>
      <c r="X364" s="76">
        <f>'CLIENT ENROLLMENT DISCHARGE '!L363</f>
        <v>0</v>
      </c>
      <c r="Y364" s="180"/>
    </row>
    <row r="365" spans="1:25" ht="50.1" customHeight="1" x14ac:dyDescent="0.25">
      <c r="A365" s="5">
        <v>350</v>
      </c>
      <c r="B365" s="10">
        <f>'CLIENT ENROLLMENT DISCHARGE '!B364</f>
        <v>0</v>
      </c>
      <c r="C365" s="4">
        <f>'CLIENT ENROLLMENT DISCHARGE '!C364</f>
        <v>0</v>
      </c>
      <c r="D365" s="52"/>
      <c r="E365" s="53"/>
      <c r="F365" s="52"/>
      <c r="G365" s="53"/>
      <c r="H365" s="63"/>
      <c r="I365" s="116"/>
      <c r="J365" s="144"/>
      <c r="K365" s="71"/>
      <c r="L365" s="53"/>
      <c r="M365" s="2"/>
      <c r="N365" s="1"/>
      <c r="O365" s="218">
        <f t="shared" si="10"/>
        <v>0</v>
      </c>
      <c r="P365" s="218">
        <f t="shared" si="11"/>
        <v>0</v>
      </c>
      <c r="Q365" s="60"/>
      <c r="R365" s="52"/>
      <c r="S365" s="66"/>
      <c r="T365" s="65"/>
      <c r="U365" s="68"/>
      <c r="V365" s="59"/>
      <c r="W365" s="6">
        <f>'CLIENT ENROLLMENT DISCHARGE '!M364</f>
        <v>0</v>
      </c>
      <c r="X365" s="76">
        <f>'CLIENT ENROLLMENT DISCHARGE '!L364</f>
        <v>0</v>
      </c>
      <c r="Y365" s="180"/>
    </row>
    <row r="366" spans="1:25" ht="50.1" customHeight="1" x14ac:dyDescent="0.25">
      <c r="A366" s="5">
        <v>351</v>
      </c>
      <c r="B366" s="10">
        <f>'CLIENT ENROLLMENT DISCHARGE '!B365</f>
        <v>0</v>
      </c>
      <c r="C366" s="4">
        <f>'CLIENT ENROLLMENT DISCHARGE '!C365</f>
        <v>0</v>
      </c>
      <c r="D366" s="51"/>
      <c r="E366" s="52"/>
      <c r="F366" s="51"/>
      <c r="G366" s="52"/>
      <c r="H366" s="62"/>
      <c r="I366" s="115"/>
      <c r="J366" s="143"/>
      <c r="K366" s="70"/>
      <c r="L366" s="52"/>
      <c r="M366" s="8"/>
      <c r="N366" s="7"/>
      <c r="O366" s="218">
        <f t="shared" si="10"/>
        <v>0</v>
      </c>
      <c r="P366" s="218">
        <f t="shared" si="11"/>
        <v>0</v>
      </c>
      <c r="Q366" s="59"/>
      <c r="R366" s="51"/>
      <c r="S366" s="65"/>
      <c r="T366" s="64"/>
      <c r="U366" s="67"/>
      <c r="V366" s="74"/>
      <c r="W366" s="6">
        <f>'CLIENT ENROLLMENT DISCHARGE '!M365</f>
        <v>0</v>
      </c>
      <c r="X366" s="76">
        <f>'CLIENT ENROLLMENT DISCHARGE '!L365</f>
        <v>0</v>
      </c>
      <c r="Y366" s="180"/>
    </row>
    <row r="367" spans="1:25" ht="50.1" customHeight="1" x14ac:dyDescent="0.25">
      <c r="A367" s="5">
        <v>352</v>
      </c>
      <c r="B367" s="10">
        <f>'CLIENT ENROLLMENT DISCHARGE '!B366</f>
        <v>0</v>
      </c>
      <c r="C367" s="4">
        <f>'CLIENT ENROLLMENT DISCHARGE '!C366</f>
        <v>0</v>
      </c>
      <c r="D367" s="52"/>
      <c r="E367" s="53"/>
      <c r="F367" s="52"/>
      <c r="G367" s="53"/>
      <c r="H367" s="63"/>
      <c r="I367" s="116"/>
      <c r="J367" s="144"/>
      <c r="K367" s="71"/>
      <c r="L367" s="53"/>
      <c r="M367" s="2"/>
      <c r="N367" s="1"/>
      <c r="O367" s="218">
        <f t="shared" si="10"/>
        <v>0</v>
      </c>
      <c r="P367" s="218">
        <f t="shared" si="11"/>
        <v>0</v>
      </c>
      <c r="Q367" s="60"/>
      <c r="R367" s="52"/>
      <c r="S367" s="66"/>
      <c r="T367" s="65"/>
      <c r="U367" s="68"/>
      <c r="V367" s="59"/>
      <c r="W367" s="6">
        <f>'CLIENT ENROLLMENT DISCHARGE '!M366</f>
        <v>0</v>
      </c>
      <c r="X367" s="76">
        <f>'CLIENT ENROLLMENT DISCHARGE '!L366</f>
        <v>0</v>
      </c>
      <c r="Y367" s="180"/>
    </row>
    <row r="368" spans="1:25" ht="50.1" customHeight="1" x14ac:dyDescent="0.25">
      <c r="A368" s="5">
        <v>353</v>
      </c>
      <c r="B368" s="10">
        <f>'CLIENT ENROLLMENT DISCHARGE '!B367</f>
        <v>0</v>
      </c>
      <c r="C368" s="4">
        <f>'CLIENT ENROLLMENT DISCHARGE '!C367</f>
        <v>0</v>
      </c>
      <c r="D368" s="51"/>
      <c r="E368" s="52"/>
      <c r="F368" s="51"/>
      <c r="G368" s="52"/>
      <c r="H368" s="62"/>
      <c r="I368" s="115"/>
      <c r="J368" s="143"/>
      <c r="K368" s="70"/>
      <c r="L368" s="52"/>
      <c r="M368" s="8"/>
      <c r="N368" s="7"/>
      <c r="O368" s="218">
        <f t="shared" si="10"/>
        <v>0</v>
      </c>
      <c r="P368" s="218">
        <f t="shared" si="11"/>
        <v>0</v>
      </c>
      <c r="Q368" s="59"/>
      <c r="R368" s="51"/>
      <c r="S368" s="65"/>
      <c r="T368" s="64"/>
      <c r="U368" s="67"/>
      <c r="V368" s="74"/>
      <c r="W368" s="6">
        <f>'CLIENT ENROLLMENT DISCHARGE '!M367</f>
        <v>0</v>
      </c>
      <c r="X368" s="76">
        <f>'CLIENT ENROLLMENT DISCHARGE '!L367</f>
        <v>0</v>
      </c>
      <c r="Y368" s="180"/>
    </row>
    <row r="369" spans="1:25" ht="50.1" customHeight="1" x14ac:dyDescent="0.25">
      <c r="A369" s="5">
        <v>354</v>
      </c>
      <c r="B369" s="10">
        <f>'CLIENT ENROLLMENT DISCHARGE '!B368</f>
        <v>0</v>
      </c>
      <c r="C369" s="4">
        <f>'CLIENT ENROLLMENT DISCHARGE '!C368</f>
        <v>0</v>
      </c>
      <c r="D369" s="52"/>
      <c r="E369" s="53"/>
      <c r="F369" s="52"/>
      <c r="G369" s="53"/>
      <c r="H369" s="63"/>
      <c r="I369" s="116"/>
      <c r="J369" s="144"/>
      <c r="K369" s="71"/>
      <c r="L369" s="53"/>
      <c r="M369" s="2"/>
      <c r="N369" s="1"/>
      <c r="O369" s="218">
        <f t="shared" si="10"/>
        <v>0</v>
      </c>
      <c r="P369" s="218">
        <f t="shared" si="11"/>
        <v>0</v>
      </c>
      <c r="Q369" s="60"/>
      <c r="R369" s="52"/>
      <c r="S369" s="66"/>
      <c r="T369" s="65"/>
      <c r="U369" s="68"/>
      <c r="V369" s="59"/>
      <c r="W369" s="6">
        <f>'CLIENT ENROLLMENT DISCHARGE '!M368</f>
        <v>0</v>
      </c>
      <c r="X369" s="76">
        <f>'CLIENT ENROLLMENT DISCHARGE '!L368</f>
        <v>0</v>
      </c>
      <c r="Y369" s="180"/>
    </row>
    <row r="370" spans="1:25" ht="50.1" customHeight="1" x14ac:dyDescent="0.25">
      <c r="A370" s="5">
        <v>355</v>
      </c>
      <c r="B370" s="10">
        <f>'CLIENT ENROLLMENT DISCHARGE '!B369</f>
        <v>0</v>
      </c>
      <c r="C370" s="4">
        <f>'CLIENT ENROLLMENT DISCHARGE '!C369</f>
        <v>0</v>
      </c>
      <c r="D370" s="51"/>
      <c r="E370" s="52"/>
      <c r="F370" s="51"/>
      <c r="G370" s="52"/>
      <c r="H370" s="62"/>
      <c r="I370" s="115"/>
      <c r="J370" s="143"/>
      <c r="K370" s="70"/>
      <c r="L370" s="52"/>
      <c r="M370" s="8"/>
      <c r="N370" s="7"/>
      <c r="O370" s="218">
        <f t="shared" si="10"/>
        <v>0</v>
      </c>
      <c r="P370" s="218">
        <f t="shared" si="11"/>
        <v>0</v>
      </c>
      <c r="Q370" s="59"/>
      <c r="R370" s="51"/>
      <c r="S370" s="65"/>
      <c r="T370" s="64"/>
      <c r="U370" s="67"/>
      <c r="V370" s="74"/>
      <c r="W370" s="6">
        <f>'CLIENT ENROLLMENT DISCHARGE '!M369</f>
        <v>0</v>
      </c>
      <c r="X370" s="76">
        <f>'CLIENT ENROLLMENT DISCHARGE '!L369</f>
        <v>0</v>
      </c>
      <c r="Y370" s="180"/>
    </row>
    <row r="371" spans="1:25" ht="50.1" customHeight="1" x14ac:dyDescent="0.25">
      <c r="A371" s="5">
        <v>356</v>
      </c>
      <c r="B371" s="10">
        <f>'CLIENT ENROLLMENT DISCHARGE '!B370</f>
        <v>0</v>
      </c>
      <c r="C371" s="4">
        <f>'CLIENT ENROLLMENT DISCHARGE '!C370</f>
        <v>0</v>
      </c>
      <c r="D371" s="52"/>
      <c r="E371" s="53"/>
      <c r="F371" s="52"/>
      <c r="G371" s="53"/>
      <c r="H371" s="63"/>
      <c r="I371" s="116"/>
      <c r="J371" s="144"/>
      <c r="K371" s="71"/>
      <c r="L371" s="53"/>
      <c r="M371" s="2"/>
      <c r="N371" s="1"/>
      <c r="O371" s="218">
        <f t="shared" si="10"/>
        <v>0</v>
      </c>
      <c r="P371" s="218">
        <f t="shared" si="11"/>
        <v>0</v>
      </c>
      <c r="Q371" s="60"/>
      <c r="R371" s="52"/>
      <c r="S371" s="66"/>
      <c r="T371" s="65"/>
      <c r="U371" s="68"/>
      <c r="V371" s="75"/>
      <c r="W371" s="6">
        <f>'CLIENT ENROLLMENT DISCHARGE '!M370</f>
        <v>0</v>
      </c>
      <c r="X371" s="76">
        <f>'CLIENT ENROLLMENT DISCHARGE '!L370</f>
        <v>0</v>
      </c>
      <c r="Y371" s="180"/>
    </row>
    <row r="372" spans="1:25" ht="50.1" customHeight="1" x14ac:dyDescent="0.25">
      <c r="A372" s="5">
        <v>357</v>
      </c>
      <c r="B372" s="10">
        <f>'CLIENT ENROLLMENT DISCHARGE '!B371</f>
        <v>0</v>
      </c>
      <c r="C372" s="4">
        <f>'CLIENT ENROLLMENT DISCHARGE '!C371</f>
        <v>0</v>
      </c>
      <c r="D372" s="51"/>
      <c r="E372" s="52"/>
      <c r="F372" s="51"/>
      <c r="G372" s="52"/>
      <c r="H372" s="62"/>
      <c r="I372" s="115"/>
      <c r="J372" s="143"/>
      <c r="K372" s="70"/>
      <c r="L372" s="52"/>
      <c r="M372" s="8"/>
      <c r="N372" s="7"/>
      <c r="O372" s="218">
        <f t="shared" si="10"/>
        <v>0</v>
      </c>
      <c r="P372" s="218">
        <f t="shared" si="11"/>
        <v>0</v>
      </c>
      <c r="Q372" s="59"/>
      <c r="R372" s="51"/>
      <c r="S372" s="65"/>
      <c r="T372" s="64"/>
      <c r="U372" s="67"/>
      <c r="V372" s="74"/>
      <c r="W372" s="6">
        <f>'CLIENT ENROLLMENT DISCHARGE '!M371</f>
        <v>0</v>
      </c>
      <c r="X372" s="76">
        <f>'CLIENT ENROLLMENT DISCHARGE '!L371</f>
        <v>0</v>
      </c>
      <c r="Y372" s="180"/>
    </row>
    <row r="373" spans="1:25" ht="50.1" customHeight="1" x14ac:dyDescent="0.25">
      <c r="A373" s="5">
        <v>358</v>
      </c>
      <c r="B373" s="10">
        <f>'CLIENT ENROLLMENT DISCHARGE '!B372</f>
        <v>0</v>
      </c>
      <c r="C373" s="4">
        <f>'CLIENT ENROLLMENT DISCHARGE '!C372</f>
        <v>0</v>
      </c>
      <c r="D373" s="52"/>
      <c r="E373" s="53"/>
      <c r="F373" s="52"/>
      <c r="G373" s="53"/>
      <c r="H373" s="63"/>
      <c r="I373" s="116"/>
      <c r="J373" s="144"/>
      <c r="K373" s="71"/>
      <c r="L373" s="53"/>
      <c r="M373" s="2"/>
      <c r="N373" s="1"/>
      <c r="O373" s="218">
        <f t="shared" si="10"/>
        <v>0</v>
      </c>
      <c r="P373" s="218">
        <f t="shared" si="11"/>
        <v>0</v>
      </c>
      <c r="Q373" s="60"/>
      <c r="R373" s="52"/>
      <c r="S373" s="66"/>
      <c r="T373" s="65"/>
      <c r="U373" s="68"/>
      <c r="V373" s="59"/>
      <c r="W373" s="6">
        <f>'CLIENT ENROLLMENT DISCHARGE '!M372</f>
        <v>0</v>
      </c>
      <c r="X373" s="76">
        <f>'CLIENT ENROLLMENT DISCHARGE '!L372</f>
        <v>0</v>
      </c>
      <c r="Y373" s="180"/>
    </row>
    <row r="374" spans="1:25" ht="50.1" customHeight="1" x14ac:dyDescent="0.25">
      <c r="A374" s="5">
        <v>359</v>
      </c>
      <c r="B374" s="10">
        <f>'CLIENT ENROLLMENT DISCHARGE '!B373</f>
        <v>0</v>
      </c>
      <c r="C374" s="4">
        <f>'CLIENT ENROLLMENT DISCHARGE '!C373</f>
        <v>0</v>
      </c>
      <c r="D374" s="51"/>
      <c r="E374" s="52"/>
      <c r="F374" s="51"/>
      <c r="G374" s="52"/>
      <c r="H374" s="62"/>
      <c r="I374" s="115"/>
      <c r="J374" s="143"/>
      <c r="K374" s="70"/>
      <c r="L374" s="52"/>
      <c r="M374" s="8"/>
      <c r="N374" s="7"/>
      <c r="O374" s="218">
        <f t="shared" si="10"/>
        <v>0</v>
      </c>
      <c r="P374" s="218">
        <f t="shared" si="11"/>
        <v>0</v>
      </c>
      <c r="Q374" s="59"/>
      <c r="R374" s="51"/>
      <c r="S374" s="65"/>
      <c r="T374" s="64"/>
      <c r="U374" s="67"/>
      <c r="V374" s="74"/>
      <c r="W374" s="6">
        <f>'CLIENT ENROLLMENT DISCHARGE '!M373</f>
        <v>0</v>
      </c>
      <c r="X374" s="76">
        <f>'CLIENT ENROLLMENT DISCHARGE '!L373</f>
        <v>0</v>
      </c>
      <c r="Y374" s="180"/>
    </row>
    <row r="375" spans="1:25" ht="50.1" customHeight="1" x14ac:dyDescent="0.25">
      <c r="A375" s="5">
        <v>360</v>
      </c>
      <c r="B375" s="10">
        <f>'CLIENT ENROLLMENT DISCHARGE '!B374</f>
        <v>0</v>
      </c>
      <c r="C375" s="4">
        <f>'CLIENT ENROLLMENT DISCHARGE '!C374</f>
        <v>0</v>
      </c>
      <c r="D375" s="52"/>
      <c r="E375" s="53"/>
      <c r="F375" s="52"/>
      <c r="G375" s="53"/>
      <c r="H375" s="63"/>
      <c r="I375" s="116"/>
      <c r="J375" s="144"/>
      <c r="K375" s="71"/>
      <c r="L375" s="53"/>
      <c r="M375" s="2"/>
      <c r="N375" s="1"/>
      <c r="O375" s="218">
        <f t="shared" si="10"/>
        <v>0</v>
      </c>
      <c r="P375" s="218">
        <f t="shared" si="11"/>
        <v>0</v>
      </c>
      <c r="Q375" s="60"/>
      <c r="R375" s="52"/>
      <c r="S375" s="66"/>
      <c r="T375" s="65"/>
      <c r="U375" s="68"/>
      <c r="V375" s="59"/>
      <c r="W375" s="6">
        <f>'CLIENT ENROLLMENT DISCHARGE '!M374</f>
        <v>0</v>
      </c>
      <c r="X375" s="76">
        <f>'CLIENT ENROLLMENT DISCHARGE '!L374</f>
        <v>0</v>
      </c>
      <c r="Y375" s="180"/>
    </row>
    <row r="376" spans="1:25" ht="50.1" customHeight="1" x14ac:dyDescent="0.25">
      <c r="A376" s="5">
        <v>361</v>
      </c>
      <c r="B376" s="10">
        <f>'CLIENT ENROLLMENT DISCHARGE '!B375</f>
        <v>0</v>
      </c>
      <c r="C376" s="4">
        <f>'CLIENT ENROLLMENT DISCHARGE '!C375</f>
        <v>0</v>
      </c>
      <c r="D376" s="51"/>
      <c r="E376" s="52"/>
      <c r="F376" s="51"/>
      <c r="G376" s="52"/>
      <c r="H376" s="62"/>
      <c r="I376" s="115"/>
      <c r="J376" s="143"/>
      <c r="K376" s="70"/>
      <c r="L376" s="52"/>
      <c r="M376" s="8"/>
      <c r="N376" s="7"/>
      <c r="O376" s="218">
        <f t="shared" si="10"/>
        <v>0</v>
      </c>
      <c r="P376" s="218">
        <f t="shared" si="11"/>
        <v>0</v>
      </c>
      <c r="Q376" s="59"/>
      <c r="R376" s="51"/>
      <c r="S376" s="65"/>
      <c r="T376" s="64"/>
      <c r="U376" s="67"/>
      <c r="V376" s="74"/>
      <c r="W376" s="6">
        <f>'CLIENT ENROLLMENT DISCHARGE '!M375</f>
        <v>0</v>
      </c>
      <c r="X376" s="76">
        <f>'CLIENT ENROLLMENT DISCHARGE '!L375</f>
        <v>0</v>
      </c>
      <c r="Y376" s="180"/>
    </row>
    <row r="377" spans="1:25" ht="50.1" customHeight="1" x14ac:dyDescent="0.25">
      <c r="A377" s="5">
        <v>362</v>
      </c>
      <c r="B377" s="10">
        <f>'CLIENT ENROLLMENT DISCHARGE '!B376</f>
        <v>0</v>
      </c>
      <c r="C377" s="4">
        <f>'CLIENT ENROLLMENT DISCHARGE '!C376</f>
        <v>0</v>
      </c>
      <c r="D377" s="52"/>
      <c r="E377" s="53"/>
      <c r="F377" s="52"/>
      <c r="G377" s="53"/>
      <c r="H377" s="63"/>
      <c r="I377" s="116"/>
      <c r="J377" s="144"/>
      <c r="K377" s="71"/>
      <c r="L377" s="53"/>
      <c r="M377" s="2"/>
      <c r="N377" s="1"/>
      <c r="O377" s="218">
        <f t="shared" si="10"/>
        <v>0</v>
      </c>
      <c r="P377" s="218">
        <f t="shared" si="11"/>
        <v>0</v>
      </c>
      <c r="Q377" s="60"/>
      <c r="R377" s="52"/>
      <c r="S377" s="66"/>
      <c r="T377" s="65"/>
      <c r="U377" s="68"/>
      <c r="V377" s="59"/>
      <c r="W377" s="6">
        <f>'CLIENT ENROLLMENT DISCHARGE '!M376</f>
        <v>0</v>
      </c>
      <c r="X377" s="76">
        <f>'CLIENT ENROLLMENT DISCHARGE '!L376</f>
        <v>0</v>
      </c>
      <c r="Y377" s="180"/>
    </row>
    <row r="378" spans="1:25" ht="50.1" customHeight="1" x14ac:dyDescent="0.25">
      <c r="A378" s="5">
        <v>363</v>
      </c>
      <c r="B378" s="10">
        <f>'CLIENT ENROLLMENT DISCHARGE '!B377</f>
        <v>0</v>
      </c>
      <c r="C378" s="4">
        <f>'CLIENT ENROLLMENT DISCHARGE '!C377</f>
        <v>0</v>
      </c>
      <c r="D378" s="51"/>
      <c r="E378" s="52"/>
      <c r="F378" s="51"/>
      <c r="G378" s="52"/>
      <c r="H378" s="62"/>
      <c r="I378" s="115"/>
      <c r="J378" s="143"/>
      <c r="K378" s="70"/>
      <c r="L378" s="52"/>
      <c r="M378" s="8"/>
      <c r="N378" s="7"/>
      <c r="O378" s="218">
        <f t="shared" si="10"/>
        <v>0</v>
      </c>
      <c r="P378" s="218">
        <f t="shared" si="11"/>
        <v>0</v>
      </c>
      <c r="Q378" s="59"/>
      <c r="R378" s="51"/>
      <c r="S378" s="65"/>
      <c r="T378" s="64"/>
      <c r="U378" s="67"/>
      <c r="V378" s="74"/>
      <c r="W378" s="6">
        <f>'CLIENT ENROLLMENT DISCHARGE '!M377</f>
        <v>0</v>
      </c>
      <c r="X378" s="76">
        <f>'CLIENT ENROLLMENT DISCHARGE '!L377</f>
        <v>0</v>
      </c>
      <c r="Y378" s="180"/>
    </row>
    <row r="379" spans="1:25" ht="50.1" customHeight="1" x14ac:dyDescent="0.25">
      <c r="A379" s="5">
        <v>364</v>
      </c>
      <c r="B379" s="10">
        <f>'CLIENT ENROLLMENT DISCHARGE '!B378</f>
        <v>0</v>
      </c>
      <c r="C379" s="4">
        <f>'CLIENT ENROLLMENT DISCHARGE '!C378</f>
        <v>0</v>
      </c>
      <c r="D379" s="52"/>
      <c r="E379" s="53"/>
      <c r="F379" s="52"/>
      <c r="G379" s="53"/>
      <c r="H379" s="63"/>
      <c r="I379" s="116"/>
      <c r="J379" s="144"/>
      <c r="K379" s="71"/>
      <c r="L379" s="53"/>
      <c r="M379" s="2"/>
      <c r="N379" s="1"/>
      <c r="O379" s="218">
        <f t="shared" si="10"/>
        <v>0</v>
      </c>
      <c r="P379" s="218">
        <f t="shared" si="11"/>
        <v>0</v>
      </c>
      <c r="Q379" s="60"/>
      <c r="R379" s="52"/>
      <c r="S379" s="66"/>
      <c r="T379" s="65"/>
      <c r="U379" s="68"/>
      <c r="V379" s="59"/>
      <c r="W379" s="6">
        <f>'CLIENT ENROLLMENT DISCHARGE '!M378</f>
        <v>0</v>
      </c>
      <c r="X379" s="76">
        <f>'CLIENT ENROLLMENT DISCHARGE '!L378</f>
        <v>0</v>
      </c>
      <c r="Y379" s="180"/>
    </row>
    <row r="380" spans="1:25" ht="50.1" customHeight="1" x14ac:dyDescent="0.25">
      <c r="A380" s="5">
        <v>365</v>
      </c>
      <c r="B380" s="10">
        <f>'CLIENT ENROLLMENT DISCHARGE '!B379</f>
        <v>0</v>
      </c>
      <c r="C380" s="4">
        <f>'CLIENT ENROLLMENT DISCHARGE '!C379</f>
        <v>0</v>
      </c>
      <c r="D380" s="51"/>
      <c r="E380" s="52"/>
      <c r="F380" s="51"/>
      <c r="G380" s="52"/>
      <c r="H380" s="62"/>
      <c r="I380" s="115"/>
      <c r="J380" s="143"/>
      <c r="K380" s="70"/>
      <c r="L380" s="52"/>
      <c r="M380" s="8"/>
      <c r="N380" s="7"/>
      <c r="O380" s="218">
        <f t="shared" si="10"/>
        <v>0</v>
      </c>
      <c r="P380" s="218">
        <f t="shared" si="11"/>
        <v>0</v>
      </c>
      <c r="Q380" s="59"/>
      <c r="R380" s="51"/>
      <c r="S380" s="65"/>
      <c r="T380" s="64"/>
      <c r="U380" s="67"/>
      <c r="V380" s="74"/>
      <c r="W380" s="6">
        <f>'CLIENT ENROLLMENT DISCHARGE '!M379</f>
        <v>0</v>
      </c>
      <c r="X380" s="76">
        <f>'CLIENT ENROLLMENT DISCHARGE '!L379</f>
        <v>0</v>
      </c>
      <c r="Y380" s="180"/>
    </row>
    <row r="381" spans="1:25" ht="50.1" customHeight="1" x14ac:dyDescent="0.25">
      <c r="A381" s="5">
        <v>366</v>
      </c>
      <c r="B381" s="10">
        <f>'CLIENT ENROLLMENT DISCHARGE '!B380</f>
        <v>0</v>
      </c>
      <c r="C381" s="4">
        <f>'CLIENT ENROLLMENT DISCHARGE '!C380</f>
        <v>0</v>
      </c>
      <c r="D381" s="52"/>
      <c r="E381" s="53"/>
      <c r="F381" s="52"/>
      <c r="G381" s="53"/>
      <c r="H381" s="63"/>
      <c r="I381" s="116"/>
      <c r="J381" s="3"/>
      <c r="K381" s="71"/>
      <c r="L381" s="53"/>
      <c r="M381" s="2"/>
      <c r="N381" s="1"/>
      <c r="O381" s="218">
        <f t="shared" si="10"/>
        <v>0</v>
      </c>
      <c r="P381" s="218">
        <f t="shared" si="11"/>
        <v>0</v>
      </c>
      <c r="Q381" s="60"/>
      <c r="R381" s="52"/>
      <c r="S381" s="66"/>
      <c r="T381" s="65"/>
      <c r="U381" s="68"/>
      <c r="V381" s="75"/>
      <c r="W381" s="6">
        <f>'CLIENT ENROLLMENT DISCHARGE '!M380</f>
        <v>0</v>
      </c>
      <c r="X381" s="76">
        <f>'CLIENT ENROLLMENT DISCHARGE '!L380</f>
        <v>0</v>
      </c>
      <c r="Y381" s="180"/>
    </row>
    <row r="382" spans="1:25" ht="50.1" customHeight="1" x14ac:dyDescent="0.25">
      <c r="A382" s="5">
        <v>367</v>
      </c>
      <c r="B382" s="10">
        <f>'CLIENT ENROLLMENT DISCHARGE '!B381</f>
        <v>0</v>
      </c>
      <c r="C382" s="4">
        <f>'CLIENT ENROLLMENT DISCHARGE '!C381</f>
        <v>0</v>
      </c>
      <c r="D382" s="51"/>
      <c r="E382" s="52"/>
      <c r="F382" s="51"/>
      <c r="G382" s="52"/>
      <c r="H382" s="62"/>
      <c r="I382" s="115"/>
      <c r="J382" s="143"/>
      <c r="K382" s="70"/>
      <c r="L382" s="52"/>
      <c r="M382" s="8"/>
      <c r="N382" s="7"/>
      <c r="O382" s="218">
        <f t="shared" si="10"/>
        <v>0</v>
      </c>
      <c r="P382" s="218">
        <f t="shared" si="11"/>
        <v>0</v>
      </c>
      <c r="Q382" s="59"/>
      <c r="R382" s="51"/>
      <c r="S382" s="65"/>
      <c r="T382" s="64"/>
      <c r="U382" s="67"/>
      <c r="V382" s="74"/>
      <c r="W382" s="6">
        <f>'CLIENT ENROLLMENT DISCHARGE '!M381</f>
        <v>0</v>
      </c>
      <c r="X382" s="76">
        <f>'CLIENT ENROLLMENT DISCHARGE '!L381</f>
        <v>0</v>
      </c>
      <c r="Y382" s="180"/>
    </row>
    <row r="383" spans="1:25" ht="50.1" customHeight="1" x14ac:dyDescent="0.25">
      <c r="A383" s="5">
        <v>368</v>
      </c>
      <c r="B383" s="10">
        <f>'CLIENT ENROLLMENT DISCHARGE '!B382</f>
        <v>0</v>
      </c>
      <c r="C383" s="4">
        <f>'CLIENT ENROLLMENT DISCHARGE '!C382</f>
        <v>0</v>
      </c>
      <c r="D383" s="52"/>
      <c r="E383" s="53"/>
      <c r="F383" s="52"/>
      <c r="G383" s="53"/>
      <c r="H383" s="63"/>
      <c r="I383" s="116"/>
      <c r="J383" s="144"/>
      <c r="K383" s="71"/>
      <c r="L383" s="53"/>
      <c r="M383" s="2"/>
      <c r="N383" s="1"/>
      <c r="O383" s="218">
        <f t="shared" si="10"/>
        <v>0</v>
      </c>
      <c r="P383" s="218">
        <f t="shared" si="11"/>
        <v>0</v>
      </c>
      <c r="Q383" s="60"/>
      <c r="R383" s="52"/>
      <c r="S383" s="66"/>
      <c r="T383" s="65"/>
      <c r="U383" s="68"/>
      <c r="V383" s="59"/>
      <c r="W383" s="6">
        <f>'CLIENT ENROLLMENT DISCHARGE '!M382</f>
        <v>0</v>
      </c>
      <c r="X383" s="76">
        <f>'CLIENT ENROLLMENT DISCHARGE '!L382</f>
        <v>0</v>
      </c>
      <c r="Y383" s="180"/>
    </row>
    <row r="384" spans="1:25" ht="50.1" customHeight="1" x14ac:dyDescent="0.25">
      <c r="A384" s="5">
        <v>369</v>
      </c>
      <c r="B384" s="10">
        <f>'CLIENT ENROLLMENT DISCHARGE '!B383</f>
        <v>0</v>
      </c>
      <c r="C384" s="4">
        <f>'CLIENT ENROLLMENT DISCHARGE '!C383</f>
        <v>0</v>
      </c>
      <c r="D384" s="51"/>
      <c r="E384" s="52"/>
      <c r="F384" s="51"/>
      <c r="G384" s="52"/>
      <c r="H384" s="62"/>
      <c r="I384" s="115"/>
      <c r="J384" s="143"/>
      <c r="K384" s="70"/>
      <c r="L384" s="52"/>
      <c r="M384" s="8"/>
      <c r="N384" s="7"/>
      <c r="O384" s="218">
        <f t="shared" si="10"/>
        <v>0</v>
      </c>
      <c r="P384" s="218">
        <f t="shared" si="11"/>
        <v>0</v>
      </c>
      <c r="Q384" s="59"/>
      <c r="R384" s="51"/>
      <c r="S384" s="65"/>
      <c r="T384" s="64"/>
      <c r="U384" s="67"/>
      <c r="V384" s="74"/>
      <c r="W384" s="6">
        <f>'CLIENT ENROLLMENT DISCHARGE '!M383</f>
        <v>0</v>
      </c>
      <c r="X384" s="76">
        <f>'CLIENT ENROLLMENT DISCHARGE '!L383</f>
        <v>0</v>
      </c>
      <c r="Y384" s="180"/>
    </row>
    <row r="385" spans="1:25" ht="50.1" customHeight="1" x14ac:dyDescent="0.25">
      <c r="A385" s="5">
        <v>370</v>
      </c>
      <c r="B385" s="10">
        <f>'CLIENT ENROLLMENT DISCHARGE '!B384</f>
        <v>0</v>
      </c>
      <c r="C385" s="4">
        <f>'CLIENT ENROLLMENT DISCHARGE '!C384</f>
        <v>0</v>
      </c>
      <c r="D385" s="52"/>
      <c r="E385" s="53"/>
      <c r="F385" s="52"/>
      <c r="G385" s="53"/>
      <c r="H385" s="63"/>
      <c r="I385" s="116"/>
      <c r="J385" s="144"/>
      <c r="K385" s="71"/>
      <c r="L385" s="53"/>
      <c r="M385" s="2"/>
      <c r="N385" s="1"/>
      <c r="O385" s="218">
        <f t="shared" si="10"/>
        <v>0</v>
      </c>
      <c r="P385" s="218">
        <f t="shared" si="11"/>
        <v>0</v>
      </c>
      <c r="Q385" s="60"/>
      <c r="R385" s="52"/>
      <c r="S385" s="66"/>
      <c r="T385" s="65"/>
      <c r="U385" s="68"/>
      <c r="V385" s="59"/>
      <c r="W385" s="6">
        <f>'CLIENT ENROLLMENT DISCHARGE '!M384</f>
        <v>0</v>
      </c>
      <c r="X385" s="76">
        <f>'CLIENT ENROLLMENT DISCHARGE '!L384</f>
        <v>0</v>
      </c>
      <c r="Y385" s="180"/>
    </row>
    <row r="386" spans="1:25" ht="50.1" customHeight="1" x14ac:dyDescent="0.25">
      <c r="A386" s="5">
        <v>371</v>
      </c>
      <c r="B386" s="10">
        <f>'CLIENT ENROLLMENT DISCHARGE '!B385</f>
        <v>0</v>
      </c>
      <c r="C386" s="4">
        <f>'CLIENT ENROLLMENT DISCHARGE '!C385</f>
        <v>0</v>
      </c>
      <c r="D386" s="51"/>
      <c r="E386" s="52"/>
      <c r="F386" s="51"/>
      <c r="G386" s="52"/>
      <c r="H386" s="62"/>
      <c r="I386" s="115"/>
      <c r="J386" s="143"/>
      <c r="K386" s="70"/>
      <c r="L386" s="52"/>
      <c r="M386" s="8"/>
      <c r="N386" s="7"/>
      <c r="O386" s="218">
        <f t="shared" si="10"/>
        <v>0</v>
      </c>
      <c r="P386" s="218">
        <f t="shared" si="11"/>
        <v>0</v>
      </c>
      <c r="Q386" s="59"/>
      <c r="R386" s="51"/>
      <c r="S386" s="65"/>
      <c r="T386" s="64"/>
      <c r="U386" s="67"/>
      <c r="V386" s="74"/>
      <c r="W386" s="6">
        <f>'CLIENT ENROLLMENT DISCHARGE '!M385</f>
        <v>0</v>
      </c>
      <c r="X386" s="76">
        <f>'CLIENT ENROLLMENT DISCHARGE '!L385</f>
        <v>0</v>
      </c>
      <c r="Y386" s="180"/>
    </row>
    <row r="387" spans="1:25" ht="50.1" customHeight="1" x14ac:dyDescent="0.25">
      <c r="A387" s="5">
        <v>372</v>
      </c>
      <c r="B387" s="10">
        <f>'CLIENT ENROLLMENT DISCHARGE '!B386</f>
        <v>0</v>
      </c>
      <c r="C387" s="4">
        <f>'CLIENT ENROLLMENT DISCHARGE '!C386</f>
        <v>0</v>
      </c>
      <c r="D387" s="52"/>
      <c r="E387" s="53"/>
      <c r="F387" s="52"/>
      <c r="G387" s="53"/>
      <c r="H387" s="63"/>
      <c r="I387" s="116"/>
      <c r="J387" s="144"/>
      <c r="K387" s="71"/>
      <c r="L387" s="53"/>
      <c r="M387" s="2"/>
      <c r="N387" s="1"/>
      <c r="O387" s="218">
        <f t="shared" si="10"/>
        <v>0</v>
      </c>
      <c r="P387" s="218">
        <f t="shared" si="11"/>
        <v>0</v>
      </c>
      <c r="Q387" s="60"/>
      <c r="R387" s="52"/>
      <c r="S387" s="66"/>
      <c r="T387" s="65"/>
      <c r="U387" s="68"/>
      <c r="V387" s="59"/>
      <c r="W387" s="6">
        <f>'CLIENT ENROLLMENT DISCHARGE '!M386</f>
        <v>0</v>
      </c>
      <c r="X387" s="76">
        <f>'CLIENT ENROLLMENT DISCHARGE '!L386</f>
        <v>0</v>
      </c>
      <c r="Y387" s="180"/>
    </row>
    <row r="388" spans="1:25" ht="50.1" customHeight="1" x14ac:dyDescent="0.25">
      <c r="A388" s="5">
        <v>373</v>
      </c>
      <c r="B388" s="10">
        <f>'CLIENT ENROLLMENT DISCHARGE '!B387</f>
        <v>0</v>
      </c>
      <c r="C388" s="4">
        <f>'CLIENT ENROLLMENT DISCHARGE '!C387</f>
        <v>0</v>
      </c>
      <c r="D388" s="51"/>
      <c r="E388" s="52"/>
      <c r="F388" s="51"/>
      <c r="G388" s="52"/>
      <c r="H388" s="62"/>
      <c r="I388" s="115"/>
      <c r="J388" s="143"/>
      <c r="K388" s="70"/>
      <c r="L388" s="52"/>
      <c r="M388" s="8"/>
      <c r="N388" s="7"/>
      <c r="O388" s="218">
        <f t="shared" si="10"/>
        <v>0</v>
      </c>
      <c r="P388" s="218">
        <f t="shared" si="11"/>
        <v>0</v>
      </c>
      <c r="Q388" s="59"/>
      <c r="R388" s="51"/>
      <c r="S388" s="65"/>
      <c r="T388" s="64"/>
      <c r="U388" s="67"/>
      <c r="V388" s="74"/>
      <c r="W388" s="6">
        <f>'CLIENT ENROLLMENT DISCHARGE '!M387</f>
        <v>0</v>
      </c>
      <c r="X388" s="76">
        <f>'CLIENT ENROLLMENT DISCHARGE '!L387</f>
        <v>0</v>
      </c>
      <c r="Y388" s="180"/>
    </row>
    <row r="389" spans="1:25" ht="50.1" customHeight="1" x14ac:dyDescent="0.25">
      <c r="A389" s="5">
        <v>374</v>
      </c>
      <c r="B389" s="10">
        <f>'CLIENT ENROLLMENT DISCHARGE '!B388</f>
        <v>0</v>
      </c>
      <c r="C389" s="4">
        <f>'CLIENT ENROLLMENT DISCHARGE '!C388</f>
        <v>0</v>
      </c>
      <c r="D389" s="52"/>
      <c r="E389" s="53"/>
      <c r="F389" s="52"/>
      <c r="G389" s="53"/>
      <c r="H389" s="63"/>
      <c r="I389" s="116"/>
      <c r="J389" s="144"/>
      <c r="K389" s="71"/>
      <c r="L389" s="53"/>
      <c r="M389" s="2"/>
      <c r="N389" s="1"/>
      <c r="O389" s="218">
        <f t="shared" si="10"/>
        <v>0</v>
      </c>
      <c r="P389" s="218">
        <f t="shared" si="11"/>
        <v>0</v>
      </c>
      <c r="Q389" s="60"/>
      <c r="R389" s="52"/>
      <c r="S389" s="66"/>
      <c r="T389" s="65"/>
      <c r="U389" s="68"/>
      <c r="V389" s="59"/>
      <c r="W389" s="6">
        <f>'CLIENT ENROLLMENT DISCHARGE '!M388</f>
        <v>0</v>
      </c>
      <c r="X389" s="76">
        <f>'CLIENT ENROLLMENT DISCHARGE '!L388</f>
        <v>0</v>
      </c>
      <c r="Y389" s="180"/>
    </row>
    <row r="390" spans="1:25" ht="50.1" customHeight="1" x14ac:dyDescent="0.25">
      <c r="A390" s="5">
        <v>375</v>
      </c>
      <c r="B390" s="10">
        <f>'CLIENT ENROLLMENT DISCHARGE '!B389</f>
        <v>0</v>
      </c>
      <c r="C390" s="4">
        <f>'CLIENT ENROLLMENT DISCHARGE '!C389</f>
        <v>0</v>
      </c>
      <c r="D390" s="51"/>
      <c r="E390" s="52"/>
      <c r="F390" s="51"/>
      <c r="G390" s="52"/>
      <c r="H390" s="62"/>
      <c r="I390" s="115"/>
      <c r="J390" s="143"/>
      <c r="K390" s="70"/>
      <c r="L390" s="52"/>
      <c r="M390" s="8"/>
      <c r="N390" s="7"/>
      <c r="O390" s="218">
        <f t="shared" si="10"/>
        <v>0</v>
      </c>
      <c r="P390" s="218">
        <f t="shared" si="11"/>
        <v>0</v>
      </c>
      <c r="Q390" s="59"/>
      <c r="R390" s="51"/>
      <c r="S390" s="65"/>
      <c r="T390" s="64"/>
      <c r="U390" s="67"/>
      <c r="V390" s="74"/>
      <c r="W390" s="6">
        <f>'CLIENT ENROLLMENT DISCHARGE '!M389</f>
        <v>0</v>
      </c>
      <c r="X390" s="76">
        <f>'CLIENT ENROLLMENT DISCHARGE '!L389</f>
        <v>0</v>
      </c>
      <c r="Y390" s="180"/>
    </row>
    <row r="391" spans="1:25" ht="50.1" customHeight="1" x14ac:dyDescent="0.25">
      <c r="A391" s="5">
        <v>376</v>
      </c>
      <c r="B391" s="10">
        <f>'CLIENT ENROLLMENT DISCHARGE '!B390</f>
        <v>0</v>
      </c>
      <c r="C391" s="4">
        <f>'CLIENT ENROLLMENT DISCHARGE '!C390</f>
        <v>0</v>
      </c>
      <c r="D391" s="52"/>
      <c r="E391" s="53"/>
      <c r="F391" s="52"/>
      <c r="G391" s="53"/>
      <c r="H391" s="63"/>
      <c r="I391" s="116"/>
      <c r="J391" s="144"/>
      <c r="K391" s="71"/>
      <c r="L391" s="53"/>
      <c r="M391" s="2"/>
      <c r="N391" s="1"/>
      <c r="O391" s="218">
        <f t="shared" si="10"/>
        <v>0</v>
      </c>
      <c r="P391" s="218">
        <f t="shared" si="11"/>
        <v>0</v>
      </c>
      <c r="Q391" s="60"/>
      <c r="R391" s="52"/>
      <c r="S391" s="66"/>
      <c r="T391" s="65"/>
      <c r="U391" s="68"/>
      <c r="V391" s="75"/>
      <c r="W391" s="6">
        <f>'CLIENT ENROLLMENT DISCHARGE '!M390</f>
        <v>0</v>
      </c>
      <c r="X391" s="76">
        <f>'CLIENT ENROLLMENT DISCHARGE '!L390</f>
        <v>0</v>
      </c>
      <c r="Y391" s="180"/>
    </row>
    <row r="392" spans="1:25" ht="50.1" customHeight="1" x14ac:dyDescent="0.25">
      <c r="A392" s="5">
        <v>377</v>
      </c>
      <c r="B392" s="10">
        <f>'CLIENT ENROLLMENT DISCHARGE '!B391</f>
        <v>0</v>
      </c>
      <c r="C392" s="4">
        <f>'CLIENT ENROLLMENT DISCHARGE '!C391</f>
        <v>0</v>
      </c>
      <c r="D392" s="51"/>
      <c r="E392" s="52"/>
      <c r="F392" s="51"/>
      <c r="G392" s="52"/>
      <c r="H392" s="62"/>
      <c r="I392" s="115"/>
      <c r="J392" s="143"/>
      <c r="K392" s="70"/>
      <c r="L392" s="52"/>
      <c r="M392" s="8"/>
      <c r="N392" s="7"/>
      <c r="O392" s="218">
        <f t="shared" si="10"/>
        <v>0</v>
      </c>
      <c r="P392" s="218">
        <f t="shared" si="11"/>
        <v>0</v>
      </c>
      <c r="Q392" s="59"/>
      <c r="R392" s="51"/>
      <c r="S392" s="65"/>
      <c r="T392" s="64"/>
      <c r="U392" s="67"/>
      <c r="V392" s="74"/>
      <c r="W392" s="6">
        <f>'CLIENT ENROLLMENT DISCHARGE '!M391</f>
        <v>0</v>
      </c>
      <c r="X392" s="76">
        <f>'CLIENT ENROLLMENT DISCHARGE '!L391</f>
        <v>0</v>
      </c>
      <c r="Y392" s="180"/>
    </row>
    <row r="393" spans="1:25" ht="50.1" customHeight="1" x14ac:dyDescent="0.25">
      <c r="A393" s="5">
        <v>378</v>
      </c>
      <c r="B393" s="10">
        <f>'CLIENT ENROLLMENT DISCHARGE '!B392</f>
        <v>0</v>
      </c>
      <c r="C393" s="4">
        <f>'CLIENT ENROLLMENT DISCHARGE '!C392</f>
        <v>0</v>
      </c>
      <c r="D393" s="52"/>
      <c r="E393" s="53"/>
      <c r="F393" s="52"/>
      <c r="G393" s="53"/>
      <c r="H393" s="63"/>
      <c r="I393" s="116"/>
      <c r="J393" s="144"/>
      <c r="K393" s="71"/>
      <c r="L393" s="53"/>
      <c r="M393" s="2"/>
      <c r="N393" s="1"/>
      <c r="O393" s="218">
        <f t="shared" si="10"/>
        <v>0</v>
      </c>
      <c r="P393" s="218">
        <f t="shared" si="11"/>
        <v>0</v>
      </c>
      <c r="Q393" s="60"/>
      <c r="R393" s="52"/>
      <c r="S393" s="66"/>
      <c r="T393" s="65"/>
      <c r="U393" s="68"/>
      <c r="V393" s="59"/>
      <c r="W393" s="6">
        <f>'CLIENT ENROLLMENT DISCHARGE '!M392</f>
        <v>0</v>
      </c>
      <c r="X393" s="76">
        <f>'CLIENT ENROLLMENT DISCHARGE '!L392</f>
        <v>0</v>
      </c>
      <c r="Y393" s="180"/>
    </row>
    <row r="394" spans="1:25" ht="50.1" customHeight="1" x14ac:dyDescent="0.25">
      <c r="A394" s="5">
        <v>379</v>
      </c>
      <c r="B394" s="10">
        <f>'CLIENT ENROLLMENT DISCHARGE '!B393</f>
        <v>0</v>
      </c>
      <c r="C394" s="4">
        <f>'CLIENT ENROLLMENT DISCHARGE '!C393</f>
        <v>0</v>
      </c>
      <c r="D394" s="51"/>
      <c r="E394" s="52"/>
      <c r="F394" s="51"/>
      <c r="G394" s="52"/>
      <c r="H394" s="62"/>
      <c r="I394" s="115"/>
      <c r="J394" s="143"/>
      <c r="K394" s="70"/>
      <c r="L394" s="52"/>
      <c r="M394" s="8"/>
      <c r="N394" s="7"/>
      <c r="O394" s="218">
        <f t="shared" si="10"/>
        <v>0</v>
      </c>
      <c r="P394" s="218">
        <f t="shared" si="11"/>
        <v>0</v>
      </c>
      <c r="Q394" s="59"/>
      <c r="R394" s="51"/>
      <c r="S394" s="65"/>
      <c r="T394" s="64"/>
      <c r="U394" s="67"/>
      <c r="V394" s="74"/>
      <c r="W394" s="6">
        <f>'CLIENT ENROLLMENT DISCHARGE '!M393</f>
        <v>0</v>
      </c>
      <c r="X394" s="76">
        <f>'CLIENT ENROLLMENT DISCHARGE '!L393</f>
        <v>0</v>
      </c>
      <c r="Y394" s="180"/>
    </row>
    <row r="395" spans="1:25" ht="50.1" customHeight="1" x14ac:dyDescent="0.25">
      <c r="A395" s="5">
        <v>380</v>
      </c>
      <c r="B395" s="10">
        <f>'CLIENT ENROLLMENT DISCHARGE '!B394</f>
        <v>0</v>
      </c>
      <c r="C395" s="4">
        <f>'CLIENT ENROLLMENT DISCHARGE '!C394</f>
        <v>0</v>
      </c>
      <c r="D395" s="52"/>
      <c r="E395" s="53"/>
      <c r="F395" s="52"/>
      <c r="G395" s="53"/>
      <c r="H395" s="63"/>
      <c r="I395" s="116"/>
      <c r="J395" s="144"/>
      <c r="K395" s="71"/>
      <c r="L395" s="53"/>
      <c r="M395" s="2"/>
      <c r="N395" s="1"/>
      <c r="O395" s="218">
        <f t="shared" si="10"/>
        <v>0</v>
      </c>
      <c r="P395" s="218">
        <f t="shared" si="11"/>
        <v>0</v>
      </c>
      <c r="Q395" s="60"/>
      <c r="R395" s="52"/>
      <c r="S395" s="66"/>
      <c r="T395" s="65"/>
      <c r="U395" s="68"/>
      <c r="V395" s="59"/>
      <c r="W395" s="6">
        <f>'CLIENT ENROLLMENT DISCHARGE '!M394</f>
        <v>0</v>
      </c>
      <c r="X395" s="76">
        <f>'CLIENT ENROLLMENT DISCHARGE '!L394</f>
        <v>0</v>
      </c>
      <c r="Y395" s="180"/>
    </row>
    <row r="396" spans="1:25" ht="50.1" customHeight="1" x14ac:dyDescent="0.25">
      <c r="A396" s="5">
        <v>381</v>
      </c>
      <c r="B396" s="10">
        <f>'CLIENT ENROLLMENT DISCHARGE '!B395</f>
        <v>0</v>
      </c>
      <c r="C396" s="4">
        <f>'CLIENT ENROLLMENT DISCHARGE '!C395</f>
        <v>0</v>
      </c>
      <c r="D396" s="51"/>
      <c r="E396" s="52"/>
      <c r="F396" s="51"/>
      <c r="G396" s="52"/>
      <c r="H396" s="62"/>
      <c r="I396" s="115"/>
      <c r="J396" s="143"/>
      <c r="K396" s="70"/>
      <c r="L396" s="52"/>
      <c r="M396" s="8"/>
      <c r="N396" s="7"/>
      <c r="O396" s="218">
        <f t="shared" si="10"/>
        <v>0</v>
      </c>
      <c r="P396" s="218">
        <f t="shared" si="11"/>
        <v>0</v>
      </c>
      <c r="Q396" s="59"/>
      <c r="R396" s="51"/>
      <c r="S396" s="65"/>
      <c r="T396" s="64"/>
      <c r="U396" s="67"/>
      <c r="V396" s="74"/>
      <c r="W396" s="6">
        <f>'CLIENT ENROLLMENT DISCHARGE '!M395</f>
        <v>0</v>
      </c>
      <c r="X396" s="76">
        <f>'CLIENT ENROLLMENT DISCHARGE '!L395</f>
        <v>0</v>
      </c>
      <c r="Y396" s="180"/>
    </row>
    <row r="397" spans="1:25" ht="50.1" customHeight="1" x14ac:dyDescent="0.25">
      <c r="A397" s="5">
        <v>382</v>
      </c>
      <c r="B397" s="10">
        <f>'CLIENT ENROLLMENT DISCHARGE '!B396</f>
        <v>0</v>
      </c>
      <c r="C397" s="4">
        <f>'CLIENT ENROLLMENT DISCHARGE '!C396</f>
        <v>0</v>
      </c>
      <c r="D397" s="52"/>
      <c r="E397" s="53"/>
      <c r="F397" s="52"/>
      <c r="G397" s="53"/>
      <c r="H397" s="63"/>
      <c r="I397" s="116"/>
      <c r="J397" s="144"/>
      <c r="K397" s="71"/>
      <c r="L397" s="53"/>
      <c r="M397" s="2"/>
      <c r="N397" s="1"/>
      <c r="O397" s="218">
        <f t="shared" si="10"/>
        <v>0</v>
      </c>
      <c r="P397" s="218">
        <f t="shared" si="11"/>
        <v>0</v>
      </c>
      <c r="Q397" s="60"/>
      <c r="R397" s="52"/>
      <c r="S397" s="66"/>
      <c r="T397" s="65"/>
      <c r="U397" s="68"/>
      <c r="V397" s="59"/>
      <c r="W397" s="6">
        <f>'CLIENT ENROLLMENT DISCHARGE '!M396</f>
        <v>0</v>
      </c>
      <c r="X397" s="76">
        <f>'CLIENT ENROLLMENT DISCHARGE '!L396</f>
        <v>0</v>
      </c>
      <c r="Y397" s="180"/>
    </row>
    <row r="398" spans="1:25" ht="50.1" customHeight="1" x14ac:dyDescent="0.25">
      <c r="A398" s="5">
        <v>383</v>
      </c>
      <c r="B398" s="10">
        <f>'CLIENT ENROLLMENT DISCHARGE '!B397</f>
        <v>0</v>
      </c>
      <c r="C398" s="4">
        <f>'CLIENT ENROLLMENT DISCHARGE '!C397</f>
        <v>0</v>
      </c>
      <c r="D398" s="51"/>
      <c r="E398" s="52"/>
      <c r="F398" s="51"/>
      <c r="G398" s="52"/>
      <c r="H398" s="62"/>
      <c r="I398" s="115"/>
      <c r="J398" s="143"/>
      <c r="K398" s="70"/>
      <c r="L398" s="52"/>
      <c r="M398" s="8"/>
      <c r="N398" s="7"/>
      <c r="O398" s="218">
        <f t="shared" si="10"/>
        <v>0</v>
      </c>
      <c r="P398" s="218">
        <f t="shared" si="11"/>
        <v>0</v>
      </c>
      <c r="Q398" s="59"/>
      <c r="R398" s="51"/>
      <c r="S398" s="65"/>
      <c r="T398" s="64"/>
      <c r="U398" s="67"/>
      <c r="V398" s="74"/>
      <c r="W398" s="6">
        <f>'CLIENT ENROLLMENT DISCHARGE '!M397</f>
        <v>0</v>
      </c>
      <c r="X398" s="76">
        <f>'CLIENT ENROLLMENT DISCHARGE '!L397</f>
        <v>0</v>
      </c>
      <c r="Y398" s="180"/>
    </row>
    <row r="399" spans="1:25" ht="50.1" customHeight="1" x14ac:dyDescent="0.25">
      <c r="A399" s="5">
        <v>384</v>
      </c>
      <c r="B399" s="10">
        <f>'CLIENT ENROLLMENT DISCHARGE '!B398</f>
        <v>0</v>
      </c>
      <c r="C399" s="4">
        <f>'CLIENT ENROLLMENT DISCHARGE '!C398</f>
        <v>0</v>
      </c>
      <c r="D399" s="52"/>
      <c r="E399" s="53"/>
      <c r="F399" s="52"/>
      <c r="G399" s="53"/>
      <c r="H399" s="63"/>
      <c r="I399" s="116"/>
      <c r="J399" s="144"/>
      <c r="K399" s="71"/>
      <c r="L399" s="53"/>
      <c r="M399" s="2"/>
      <c r="N399" s="1"/>
      <c r="O399" s="218">
        <f t="shared" si="10"/>
        <v>0</v>
      </c>
      <c r="P399" s="218">
        <f t="shared" si="11"/>
        <v>0</v>
      </c>
      <c r="Q399" s="60"/>
      <c r="R399" s="52"/>
      <c r="S399" s="66"/>
      <c r="T399" s="65"/>
      <c r="U399" s="68"/>
      <c r="V399" s="59"/>
      <c r="W399" s="6">
        <f>'CLIENT ENROLLMENT DISCHARGE '!M398</f>
        <v>0</v>
      </c>
      <c r="X399" s="76">
        <f>'CLIENT ENROLLMENT DISCHARGE '!L398</f>
        <v>0</v>
      </c>
      <c r="Y399" s="180"/>
    </row>
    <row r="400" spans="1:25" ht="50.1" customHeight="1" x14ac:dyDescent="0.25">
      <c r="A400" s="5">
        <v>385</v>
      </c>
      <c r="B400" s="10">
        <f>'CLIENT ENROLLMENT DISCHARGE '!B399</f>
        <v>0</v>
      </c>
      <c r="C400" s="4">
        <f>'CLIENT ENROLLMENT DISCHARGE '!C399</f>
        <v>0</v>
      </c>
      <c r="D400" s="51"/>
      <c r="E400" s="52"/>
      <c r="F400" s="51"/>
      <c r="G400" s="52"/>
      <c r="H400" s="62"/>
      <c r="I400" s="115"/>
      <c r="J400" s="143"/>
      <c r="K400" s="70"/>
      <c r="L400" s="52"/>
      <c r="M400" s="8"/>
      <c r="N400" s="7"/>
      <c r="O400" s="218">
        <f t="shared" si="10"/>
        <v>0</v>
      </c>
      <c r="P400" s="218">
        <f t="shared" si="11"/>
        <v>0</v>
      </c>
      <c r="Q400" s="59"/>
      <c r="R400" s="51"/>
      <c r="S400" s="65"/>
      <c r="T400" s="64"/>
      <c r="U400" s="67"/>
      <c r="V400" s="74"/>
      <c r="W400" s="6">
        <f>'CLIENT ENROLLMENT DISCHARGE '!M399</f>
        <v>0</v>
      </c>
      <c r="X400" s="76">
        <f>'CLIENT ENROLLMENT DISCHARGE '!L399</f>
        <v>0</v>
      </c>
      <c r="Y400" s="180"/>
    </row>
    <row r="401" spans="1:25" ht="50.1" customHeight="1" x14ac:dyDescent="0.25">
      <c r="A401" s="5">
        <v>386</v>
      </c>
      <c r="B401" s="10">
        <f>'CLIENT ENROLLMENT DISCHARGE '!B400</f>
        <v>0</v>
      </c>
      <c r="C401" s="4">
        <f>'CLIENT ENROLLMENT DISCHARGE '!C400</f>
        <v>0</v>
      </c>
      <c r="D401" s="52"/>
      <c r="E401" s="53"/>
      <c r="F401" s="52"/>
      <c r="G401" s="53"/>
      <c r="H401" s="63"/>
      <c r="I401" s="116"/>
      <c r="J401" s="3"/>
      <c r="K401" s="71"/>
      <c r="L401" s="53"/>
      <c r="M401" s="2"/>
      <c r="N401" s="1"/>
      <c r="O401" s="218">
        <f t="shared" ref="O401:O464" si="12">K401*N401</f>
        <v>0</v>
      </c>
      <c r="P401" s="218">
        <f t="shared" ref="P401:P464" si="13">O401</f>
        <v>0</v>
      </c>
      <c r="Q401" s="60"/>
      <c r="R401" s="52"/>
      <c r="S401" s="66"/>
      <c r="T401" s="65"/>
      <c r="U401" s="68"/>
      <c r="V401" s="75"/>
      <c r="W401" s="6">
        <f>'CLIENT ENROLLMENT DISCHARGE '!M400</f>
        <v>0</v>
      </c>
      <c r="X401" s="76">
        <f>'CLIENT ENROLLMENT DISCHARGE '!L400</f>
        <v>0</v>
      </c>
      <c r="Y401" s="180"/>
    </row>
    <row r="402" spans="1:25" ht="50.1" customHeight="1" x14ac:dyDescent="0.25">
      <c r="A402" s="5">
        <v>387</v>
      </c>
      <c r="B402" s="10">
        <f>'CLIENT ENROLLMENT DISCHARGE '!B401</f>
        <v>0</v>
      </c>
      <c r="C402" s="4">
        <f>'CLIENT ENROLLMENT DISCHARGE '!C401</f>
        <v>0</v>
      </c>
      <c r="D402" s="51"/>
      <c r="E402" s="52"/>
      <c r="F402" s="51"/>
      <c r="G402" s="52"/>
      <c r="H402" s="62"/>
      <c r="I402" s="115"/>
      <c r="J402" s="143"/>
      <c r="K402" s="70"/>
      <c r="L402" s="52"/>
      <c r="M402" s="8"/>
      <c r="N402" s="7"/>
      <c r="O402" s="218">
        <f t="shared" si="12"/>
        <v>0</v>
      </c>
      <c r="P402" s="218">
        <f t="shared" si="13"/>
        <v>0</v>
      </c>
      <c r="Q402" s="59"/>
      <c r="R402" s="51"/>
      <c r="S402" s="65"/>
      <c r="T402" s="64"/>
      <c r="U402" s="67"/>
      <c r="V402" s="74"/>
      <c r="W402" s="6">
        <f>'CLIENT ENROLLMENT DISCHARGE '!M401</f>
        <v>0</v>
      </c>
      <c r="X402" s="76">
        <f>'CLIENT ENROLLMENT DISCHARGE '!L401</f>
        <v>0</v>
      </c>
      <c r="Y402" s="180"/>
    </row>
    <row r="403" spans="1:25" ht="50.1" customHeight="1" x14ac:dyDescent="0.25">
      <c r="A403" s="5">
        <v>388</v>
      </c>
      <c r="B403" s="10">
        <f>'CLIENT ENROLLMENT DISCHARGE '!B402</f>
        <v>0</v>
      </c>
      <c r="C403" s="4">
        <f>'CLIENT ENROLLMENT DISCHARGE '!C402</f>
        <v>0</v>
      </c>
      <c r="D403" s="52"/>
      <c r="E403" s="53"/>
      <c r="F403" s="52"/>
      <c r="G403" s="53"/>
      <c r="H403" s="63"/>
      <c r="I403" s="116"/>
      <c r="J403" s="144"/>
      <c r="K403" s="71"/>
      <c r="L403" s="53"/>
      <c r="M403" s="2"/>
      <c r="N403" s="1"/>
      <c r="O403" s="218">
        <f t="shared" si="12"/>
        <v>0</v>
      </c>
      <c r="P403" s="218">
        <f t="shared" si="13"/>
        <v>0</v>
      </c>
      <c r="Q403" s="60"/>
      <c r="R403" s="52"/>
      <c r="S403" s="66"/>
      <c r="T403" s="65"/>
      <c r="U403" s="68"/>
      <c r="V403" s="59"/>
      <c r="W403" s="6">
        <f>'CLIENT ENROLLMENT DISCHARGE '!M402</f>
        <v>0</v>
      </c>
      <c r="X403" s="76">
        <f>'CLIENT ENROLLMENT DISCHARGE '!L402</f>
        <v>0</v>
      </c>
      <c r="Y403" s="180"/>
    </row>
    <row r="404" spans="1:25" ht="50.1" customHeight="1" x14ac:dyDescent="0.25">
      <c r="A404" s="5">
        <v>389</v>
      </c>
      <c r="B404" s="10">
        <f>'CLIENT ENROLLMENT DISCHARGE '!B403</f>
        <v>0</v>
      </c>
      <c r="C404" s="4">
        <f>'CLIENT ENROLLMENT DISCHARGE '!C403</f>
        <v>0</v>
      </c>
      <c r="D404" s="51"/>
      <c r="E404" s="52"/>
      <c r="F404" s="51"/>
      <c r="G404" s="52"/>
      <c r="H404" s="62"/>
      <c r="I404" s="115"/>
      <c r="J404" s="143"/>
      <c r="K404" s="70"/>
      <c r="L404" s="52"/>
      <c r="M404" s="8"/>
      <c r="N404" s="7"/>
      <c r="O404" s="218">
        <f t="shared" si="12"/>
        <v>0</v>
      </c>
      <c r="P404" s="218">
        <f t="shared" si="13"/>
        <v>0</v>
      </c>
      <c r="Q404" s="59"/>
      <c r="R404" s="51"/>
      <c r="S404" s="65"/>
      <c r="T404" s="64"/>
      <c r="U404" s="67"/>
      <c r="V404" s="74"/>
      <c r="W404" s="6">
        <f>'CLIENT ENROLLMENT DISCHARGE '!M403</f>
        <v>0</v>
      </c>
      <c r="X404" s="76">
        <f>'CLIENT ENROLLMENT DISCHARGE '!L403</f>
        <v>0</v>
      </c>
      <c r="Y404" s="180"/>
    </row>
    <row r="405" spans="1:25" ht="50.1" customHeight="1" x14ac:dyDescent="0.25">
      <c r="A405" s="5">
        <v>390</v>
      </c>
      <c r="B405" s="10">
        <f>'CLIENT ENROLLMENT DISCHARGE '!B404</f>
        <v>0</v>
      </c>
      <c r="C405" s="4">
        <f>'CLIENT ENROLLMENT DISCHARGE '!C404</f>
        <v>0</v>
      </c>
      <c r="D405" s="52"/>
      <c r="E405" s="53"/>
      <c r="F405" s="52"/>
      <c r="G405" s="53"/>
      <c r="H405" s="63"/>
      <c r="I405" s="116"/>
      <c r="J405" s="144"/>
      <c r="K405" s="71"/>
      <c r="L405" s="53"/>
      <c r="M405" s="2"/>
      <c r="N405" s="1"/>
      <c r="O405" s="218">
        <f t="shared" si="12"/>
        <v>0</v>
      </c>
      <c r="P405" s="218">
        <f t="shared" si="13"/>
        <v>0</v>
      </c>
      <c r="Q405" s="60"/>
      <c r="R405" s="52"/>
      <c r="S405" s="66"/>
      <c r="T405" s="65"/>
      <c r="U405" s="68"/>
      <c r="V405" s="59"/>
      <c r="W405" s="6">
        <f>'CLIENT ENROLLMENT DISCHARGE '!M404</f>
        <v>0</v>
      </c>
      <c r="X405" s="76">
        <f>'CLIENT ENROLLMENT DISCHARGE '!L404</f>
        <v>0</v>
      </c>
      <c r="Y405" s="180"/>
    </row>
    <row r="406" spans="1:25" ht="50.1" customHeight="1" x14ac:dyDescent="0.25">
      <c r="A406" s="5">
        <v>391</v>
      </c>
      <c r="B406" s="10">
        <f>'CLIENT ENROLLMENT DISCHARGE '!B405</f>
        <v>0</v>
      </c>
      <c r="C406" s="4">
        <f>'CLIENT ENROLLMENT DISCHARGE '!C405</f>
        <v>0</v>
      </c>
      <c r="D406" s="51"/>
      <c r="E406" s="52"/>
      <c r="F406" s="51"/>
      <c r="G406" s="52"/>
      <c r="H406" s="62"/>
      <c r="I406" s="115"/>
      <c r="J406" s="143"/>
      <c r="K406" s="70"/>
      <c r="L406" s="52"/>
      <c r="M406" s="8"/>
      <c r="N406" s="7"/>
      <c r="O406" s="218">
        <f t="shared" si="12"/>
        <v>0</v>
      </c>
      <c r="P406" s="218">
        <f t="shared" si="13"/>
        <v>0</v>
      </c>
      <c r="Q406" s="59"/>
      <c r="R406" s="51"/>
      <c r="S406" s="65"/>
      <c r="T406" s="64"/>
      <c r="U406" s="67"/>
      <c r="V406" s="74"/>
      <c r="W406" s="6">
        <f>'CLIENT ENROLLMENT DISCHARGE '!M405</f>
        <v>0</v>
      </c>
      <c r="X406" s="76">
        <f>'CLIENT ENROLLMENT DISCHARGE '!L405</f>
        <v>0</v>
      </c>
      <c r="Y406" s="180"/>
    </row>
    <row r="407" spans="1:25" ht="50.1" customHeight="1" x14ac:dyDescent="0.25">
      <c r="A407" s="5">
        <v>392</v>
      </c>
      <c r="B407" s="10">
        <f>'CLIENT ENROLLMENT DISCHARGE '!B406</f>
        <v>0</v>
      </c>
      <c r="C407" s="4">
        <f>'CLIENT ENROLLMENT DISCHARGE '!C406</f>
        <v>0</v>
      </c>
      <c r="D407" s="52"/>
      <c r="E407" s="53"/>
      <c r="F407" s="52"/>
      <c r="G407" s="53"/>
      <c r="H407" s="63"/>
      <c r="I407" s="116"/>
      <c r="J407" s="144"/>
      <c r="K407" s="71"/>
      <c r="L407" s="53"/>
      <c r="M407" s="2"/>
      <c r="N407" s="1"/>
      <c r="O407" s="218">
        <f t="shared" si="12"/>
        <v>0</v>
      </c>
      <c r="P407" s="218">
        <f t="shared" si="13"/>
        <v>0</v>
      </c>
      <c r="Q407" s="60"/>
      <c r="R407" s="52"/>
      <c r="S407" s="66"/>
      <c r="T407" s="65"/>
      <c r="U407" s="68"/>
      <c r="V407" s="59"/>
      <c r="W407" s="6">
        <f>'CLIENT ENROLLMENT DISCHARGE '!M406</f>
        <v>0</v>
      </c>
      <c r="X407" s="76">
        <f>'CLIENT ENROLLMENT DISCHARGE '!L406</f>
        <v>0</v>
      </c>
      <c r="Y407" s="180"/>
    </row>
    <row r="408" spans="1:25" ht="50.1" customHeight="1" x14ac:dyDescent="0.25">
      <c r="A408" s="5">
        <v>393</v>
      </c>
      <c r="B408" s="10">
        <f>'CLIENT ENROLLMENT DISCHARGE '!B407</f>
        <v>0</v>
      </c>
      <c r="C408" s="4">
        <f>'CLIENT ENROLLMENT DISCHARGE '!C407</f>
        <v>0</v>
      </c>
      <c r="D408" s="51"/>
      <c r="E408" s="52"/>
      <c r="F408" s="51"/>
      <c r="G408" s="52"/>
      <c r="H408" s="62"/>
      <c r="I408" s="115"/>
      <c r="J408" s="143"/>
      <c r="K408" s="70"/>
      <c r="L408" s="52"/>
      <c r="M408" s="8"/>
      <c r="N408" s="7"/>
      <c r="O408" s="218">
        <f t="shared" si="12"/>
        <v>0</v>
      </c>
      <c r="P408" s="218">
        <f t="shared" si="13"/>
        <v>0</v>
      </c>
      <c r="Q408" s="59"/>
      <c r="R408" s="51"/>
      <c r="S408" s="65"/>
      <c r="T408" s="64"/>
      <c r="U408" s="67"/>
      <c r="V408" s="74"/>
      <c r="W408" s="6">
        <f>'CLIENT ENROLLMENT DISCHARGE '!M407</f>
        <v>0</v>
      </c>
      <c r="X408" s="76">
        <f>'CLIENT ENROLLMENT DISCHARGE '!L407</f>
        <v>0</v>
      </c>
      <c r="Y408" s="180"/>
    </row>
    <row r="409" spans="1:25" ht="50.1" customHeight="1" x14ac:dyDescent="0.25">
      <c r="A409" s="5">
        <v>394</v>
      </c>
      <c r="B409" s="10">
        <f>'CLIENT ENROLLMENT DISCHARGE '!B408</f>
        <v>0</v>
      </c>
      <c r="C409" s="4">
        <f>'CLIENT ENROLLMENT DISCHARGE '!C408</f>
        <v>0</v>
      </c>
      <c r="D409" s="52"/>
      <c r="E409" s="53"/>
      <c r="F409" s="52"/>
      <c r="G409" s="53"/>
      <c r="H409" s="63"/>
      <c r="I409" s="116"/>
      <c r="J409" s="144"/>
      <c r="K409" s="71"/>
      <c r="L409" s="53"/>
      <c r="M409" s="2"/>
      <c r="N409" s="1"/>
      <c r="O409" s="218">
        <f t="shared" si="12"/>
        <v>0</v>
      </c>
      <c r="P409" s="218">
        <f t="shared" si="13"/>
        <v>0</v>
      </c>
      <c r="Q409" s="60"/>
      <c r="R409" s="52"/>
      <c r="S409" s="66"/>
      <c r="T409" s="65"/>
      <c r="U409" s="68"/>
      <c r="V409" s="59"/>
      <c r="W409" s="6">
        <f>'CLIENT ENROLLMENT DISCHARGE '!M408</f>
        <v>0</v>
      </c>
      <c r="X409" s="76">
        <f>'CLIENT ENROLLMENT DISCHARGE '!L408</f>
        <v>0</v>
      </c>
      <c r="Y409" s="180"/>
    </row>
    <row r="410" spans="1:25" ht="50.1" customHeight="1" x14ac:dyDescent="0.25">
      <c r="A410" s="5">
        <v>395</v>
      </c>
      <c r="B410" s="10">
        <f>'CLIENT ENROLLMENT DISCHARGE '!B409</f>
        <v>0</v>
      </c>
      <c r="C410" s="4">
        <f>'CLIENT ENROLLMENT DISCHARGE '!C409</f>
        <v>0</v>
      </c>
      <c r="D410" s="51"/>
      <c r="E410" s="52"/>
      <c r="F410" s="51"/>
      <c r="G410" s="52"/>
      <c r="H410" s="62"/>
      <c r="I410" s="115"/>
      <c r="J410" s="143"/>
      <c r="K410" s="70"/>
      <c r="L410" s="52"/>
      <c r="M410" s="8"/>
      <c r="N410" s="7"/>
      <c r="O410" s="218">
        <f t="shared" si="12"/>
        <v>0</v>
      </c>
      <c r="P410" s="218">
        <f t="shared" si="13"/>
        <v>0</v>
      </c>
      <c r="Q410" s="59"/>
      <c r="R410" s="51"/>
      <c r="S410" s="65"/>
      <c r="T410" s="64"/>
      <c r="U410" s="67"/>
      <c r="V410" s="74"/>
      <c r="W410" s="6">
        <f>'CLIENT ENROLLMENT DISCHARGE '!M409</f>
        <v>0</v>
      </c>
      <c r="X410" s="76">
        <f>'CLIENT ENROLLMENT DISCHARGE '!L409</f>
        <v>0</v>
      </c>
      <c r="Y410" s="180"/>
    </row>
    <row r="411" spans="1:25" ht="50.1" customHeight="1" x14ac:dyDescent="0.25">
      <c r="A411" s="5">
        <v>396</v>
      </c>
      <c r="B411" s="10">
        <f>'CLIENT ENROLLMENT DISCHARGE '!B410</f>
        <v>0</v>
      </c>
      <c r="C411" s="4">
        <f>'CLIENT ENROLLMENT DISCHARGE '!C410</f>
        <v>0</v>
      </c>
      <c r="D411" s="52"/>
      <c r="E411" s="53"/>
      <c r="F411" s="52"/>
      <c r="G411" s="53"/>
      <c r="H411" s="63"/>
      <c r="I411" s="116"/>
      <c r="J411" s="144"/>
      <c r="K411" s="71"/>
      <c r="L411" s="53"/>
      <c r="M411" s="2"/>
      <c r="N411" s="1"/>
      <c r="O411" s="218">
        <f t="shared" si="12"/>
        <v>0</v>
      </c>
      <c r="P411" s="218">
        <f t="shared" si="13"/>
        <v>0</v>
      </c>
      <c r="Q411" s="60"/>
      <c r="R411" s="52"/>
      <c r="S411" s="66"/>
      <c r="T411" s="65"/>
      <c r="U411" s="68"/>
      <c r="V411" s="75"/>
      <c r="W411" s="6">
        <f>'CLIENT ENROLLMENT DISCHARGE '!M410</f>
        <v>0</v>
      </c>
      <c r="X411" s="76">
        <f>'CLIENT ENROLLMENT DISCHARGE '!L410</f>
        <v>0</v>
      </c>
      <c r="Y411" s="180"/>
    </row>
    <row r="412" spans="1:25" ht="50.1" customHeight="1" x14ac:dyDescent="0.25">
      <c r="A412" s="5">
        <v>397</v>
      </c>
      <c r="B412" s="10">
        <f>'CLIENT ENROLLMENT DISCHARGE '!B411</f>
        <v>0</v>
      </c>
      <c r="C412" s="4">
        <f>'CLIENT ENROLLMENT DISCHARGE '!C411</f>
        <v>0</v>
      </c>
      <c r="D412" s="51"/>
      <c r="E412" s="52"/>
      <c r="F412" s="51"/>
      <c r="G412" s="52"/>
      <c r="H412" s="62"/>
      <c r="I412" s="115"/>
      <c r="J412" s="143"/>
      <c r="K412" s="70"/>
      <c r="L412" s="52"/>
      <c r="M412" s="8"/>
      <c r="N412" s="7"/>
      <c r="O412" s="218">
        <f t="shared" si="12"/>
        <v>0</v>
      </c>
      <c r="P412" s="218">
        <f t="shared" si="13"/>
        <v>0</v>
      </c>
      <c r="Q412" s="59"/>
      <c r="R412" s="51"/>
      <c r="S412" s="65"/>
      <c r="T412" s="64"/>
      <c r="U412" s="67"/>
      <c r="V412" s="74"/>
      <c r="W412" s="6">
        <f>'CLIENT ENROLLMENT DISCHARGE '!M411</f>
        <v>0</v>
      </c>
      <c r="X412" s="76">
        <f>'CLIENT ENROLLMENT DISCHARGE '!L411</f>
        <v>0</v>
      </c>
      <c r="Y412" s="180"/>
    </row>
    <row r="413" spans="1:25" ht="50.1" customHeight="1" x14ac:dyDescent="0.25">
      <c r="A413" s="5">
        <v>398</v>
      </c>
      <c r="B413" s="10">
        <f>'CLIENT ENROLLMENT DISCHARGE '!B412</f>
        <v>0</v>
      </c>
      <c r="C413" s="4">
        <f>'CLIENT ENROLLMENT DISCHARGE '!C412</f>
        <v>0</v>
      </c>
      <c r="D413" s="52"/>
      <c r="E413" s="53"/>
      <c r="F413" s="52"/>
      <c r="G413" s="53"/>
      <c r="H413" s="63"/>
      <c r="I413" s="116"/>
      <c r="J413" s="144"/>
      <c r="K413" s="71"/>
      <c r="L413" s="53"/>
      <c r="M413" s="2"/>
      <c r="N413" s="1"/>
      <c r="O413" s="218">
        <f t="shared" si="12"/>
        <v>0</v>
      </c>
      <c r="P413" s="218">
        <f t="shared" si="13"/>
        <v>0</v>
      </c>
      <c r="Q413" s="60"/>
      <c r="R413" s="52"/>
      <c r="S413" s="66"/>
      <c r="T413" s="65"/>
      <c r="U413" s="68"/>
      <c r="V413" s="59"/>
      <c r="W413" s="6">
        <f>'CLIENT ENROLLMENT DISCHARGE '!M412</f>
        <v>0</v>
      </c>
      <c r="X413" s="76">
        <f>'CLIENT ENROLLMENT DISCHARGE '!L412</f>
        <v>0</v>
      </c>
      <c r="Y413" s="180"/>
    </row>
    <row r="414" spans="1:25" ht="50.1" customHeight="1" x14ac:dyDescent="0.25">
      <c r="A414" s="5">
        <v>399</v>
      </c>
      <c r="B414" s="10">
        <f>'CLIENT ENROLLMENT DISCHARGE '!B413</f>
        <v>0</v>
      </c>
      <c r="C414" s="4">
        <f>'CLIENT ENROLLMENT DISCHARGE '!C413</f>
        <v>0</v>
      </c>
      <c r="D414" s="51"/>
      <c r="E414" s="52"/>
      <c r="F414" s="51"/>
      <c r="G414" s="52"/>
      <c r="H414" s="62"/>
      <c r="I414" s="115"/>
      <c r="J414" s="143"/>
      <c r="K414" s="70"/>
      <c r="L414" s="52"/>
      <c r="M414" s="8"/>
      <c r="N414" s="7"/>
      <c r="O414" s="218">
        <f t="shared" si="12"/>
        <v>0</v>
      </c>
      <c r="P414" s="218">
        <f t="shared" si="13"/>
        <v>0</v>
      </c>
      <c r="Q414" s="59"/>
      <c r="R414" s="51"/>
      <c r="S414" s="65"/>
      <c r="T414" s="64"/>
      <c r="U414" s="67"/>
      <c r="V414" s="74"/>
      <c r="W414" s="6">
        <f>'CLIENT ENROLLMENT DISCHARGE '!M413</f>
        <v>0</v>
      </c>
      <c r="X414" s="76">
        <f>'CLIENT ENROLLMENT DISCHARGE '!L413</f>
        <v>0</v>
      </c>
      <c r="Y414" s="180"/>
    </row>
    <row r="415" spans="1:25" ht="50.1" customHeight="1" x14ac:dyDescent="0.25">
      <c r="A415" s="5">
        <v>400</v>
      </c>
      <c r="B415" s="10">
        <f>'CLIENT ENROLLMENT DISCHARGE '!B414</f>
        <v>0</v>
      </c>
      <c r="C415" s="4">
        <f>'CLIENT ENROLLMENT DISCHARGE '!C414</f>
        <v>0</v>
      </c>
      <c r="D415" s="52"/>
      <c r="E415" s="53"/>
      <c r="F415" s="52"/>
      <c r="G415" s="53"/>
      <c r="H415" s="63"/>
      <c r="I415" s="116"/>
      <c r="J415" s="144"/>
      <c r="K415" s="71"/>
      <c r="L415" s="53"/>
      <c r="M415" s="2"/>
      <c r="N415" s="1"/>
      <c r="O415" s="218">
        <f t="shared" si="12"/>
        <v>0</v>
      </c>
      <c r="P415" s="218">
        <f t="shared" si="13"/>
        <v>0</v>
      </c>
      <c r="Q415" s="60"/>
      <c r="R415" s="52"/>
      <c r="S415" s="66"/>
      <c r="T415" s="65"/>
      <c r="U415" s="68"/>
      <c r="V415" s="59"/>
      <c r="W415" s="6">
        <f>'CLIENT ENROLLMENT DISCHARGE '!M414</f>
        <v>0</v>
      </c>
      <c r="X415" s="76">
        <f>'CLIENT ENROLLMENT DISCHARGE '!L414</f>
        <v>0</v>
      </c>
      <c r="Y415" s="180"/>
    </row>
    <row r="416" spans="1:25" ht="50.1" customHeight="1" x14ac:dyDescent="0.25">
      <c r="A416" s="5">
        <v>404</v>
      </c>
      <c r="B416" s="10">
        <f>'CLIENT ENROLLMENT DISCHARGE '!B415</f>
        <v>0</v>
      </c>
      <c r="C416" s="4">
        <f>'CLIENT ENROLLMENT DISCHARGE '!C415</f>
        <v>0</v>
      </c>
      <c r="D416" s="51"/>
      <c r="E416" s="52"/>
      <c r="F416" s="51"/>
      <c r="G416" s="52"/>
      <c r="H416" s="62"/>
      <c r="I416" s="115"/>
      <c r="J416" s="143"/>
      <c r="K416" s="70"/>
      <c r="L416" s="52"/>
      <c r="M416" s="8"/>
      <c r="N416" s="7"/>
      <c r="O416" s="218">
        <f t="shared" si="12"/>
        <v>0</v>
      </c>
      <c r="P416" s="218">
        <f t="shared" si="13"/>
        <v>0</v>
      </c>
      <c r="Q416" s="59"/>
      <c r="R416" s="51"/>
      <c r="S416" s="65"/>
      <c r="T416" s="64"/>
      <c r="U416" s="67"/>
      <c r="V416" s="74"/>
      <c r="W416" s="6">
        <f>'CLIENT ENROLLMENT DISCHARGE '!M415</f>
        <v>0</v>
      </c>
      <c r="X416" s="76">
        <f>'CLIENT ENROLLMENT DISCHARGE '!L415</f>
        <v>0</v>
      </c>
      <c r="Y416" s="180"/>
    </row>
    <row r="417" spans="1:25" ht="50.1" customHeight="1" x14ac:dyDescent="0.25">
      <c r="A417" s="5">
        <v>402</v>
      </c>
      <c r="B417" s="10">
        <f>'CLIENT ENROLLMENT DISCHARGE '!B416</f>
        <v>0</v>
      </c>
      <c r="C417" s="4">
        <f>'CLIENT ENROLLMENT DISCHARGE '!C416</f>
        <v>0</v>
      </c>
      <c r="D417" s="52"/>
      <c r="E417" s="53"/>
      <c r="F417" s="52"/>
      <c r="G417" s="53"/>
      <c r="H417" s="63"/>
      <c r="I417" s="116"/>
      <c r="J417" s="144"/>
      <c r="K417" s="71"/>
      <c r="L417" s="53"/>
      <c r="M417" s="2"/>
      <c r="N417" s="1"/>
      <c r="O417" s="218">
        <f t="shared" si="12"/>
        <v>0</v>
      </c>
      <c r="P417" s="218">
        <f t="shared" si="13"/>
        <v>0</v>
      </c>
      <c r="Q417" s="60"/>
      <c r="R417" s="52"/>
      <c r="S417" s="66"/>
      <c r="T417" s="65"/>
      <c r="U417" s="68"/>
      <c r="V417" s="59"/>
      <c r="W417" s="6">
        <f>'CLIENT ENROLLMENT DISCHARGE '!M416</f>
        <v>0</v>
      </c>
      <c r="X417" s="76">
        <f>'CLIENT ENROLLMENT DISCHARGE '!L416</f>
        <v>0</v>
      </c>
      <c r="Y417" s="180"/>
    </row>
    <row r="418" spans="1:25" ht="50.1" customHeight="1" x14ac:dyDescent="0.25">
      <c r="A418" s="5">
        <v>403</v>
      </c>
      <c r="B418" s="10">
        <f>'CLIENT ENROLLMENT DISCHARGE '!B417</f>
        <v>0</v>
      </c>
      <c r="C418" s="4">
        <f>'CLIENT ENROLLMENT DISCHARGE '!C417</f>
        <v>0</v>
      </c>
      <c r="D418" s="51"/>
      <c r="E418" s="52"/>
      <c r="F418" s="51"/>
      <c r="G418" s="52"/>
      <c r="H418" s="62"/>
      <c r="I418" s="115"/>
      <c r="J418" s="143"/>
      <c r="K418" s="70"/>
      <c r="L418" s="52"/>
      <c r="M418" s="8"/>
      <c r="N418" s="7"/>
      <c r="O418" s="218">
        <f t="shared" si="12"/>
        <v>0</v>
      </c>
      <c r="P418" s="218">
        <f t="shared" si="13"/>
        <v>0</v>
      </c>
      <c r="Q418" s="59"/>
      <c r="R418" s="51"/>
      <c r="S418" s="65"/>
      <c r="T418" s="64"/>
      <c r="U418" s="67"/>
      <c r="V418" s="74"/>
      <c r="W418" s="6">
        <f>'CLIENT ENROLLMENT DISCHARGE '!M417</f>
        <v>0</v>
      </c>
      <c r="X418" s="76">
        <f>'CLIENT ENROLLMENT DISCHARGE '!L417</f>
        <v>0</v>
      </c>
      <c r="Y418" s="180"/>
    </row>
    <row r="419" spans="1:25" ht="50.1" customHeight="1" x14ac:dyDescent="0.25">
      <c r="A419" s="5">
        <v>404</v>
      </c>
      <c r="B419" s="10">
        <f>'CLIENT ENROLLMENT DISCHARGE '!B418</f>
        <v>0</v>
      </c>
      <c r="C419" s="4">
        <f>'CLIENT ENROLLMENT DISCHARGE '!C418</f>
        <v>0</v>
      </c>
      <c r="D419" s="52"/>
      <c r="E419" s="53"/>
      <c r="F419" s="52"/>
      <c r="G419" s="53"/>
      <c r="H419" s="63"/>
      <c r="I419" s="116"/>
      <c r="J419" s="144"/>
      <c r="K419" s="71"/>
      <c r="L419" s="53"/>
      <c r="M419" s="2"/>
      <c r="N419" s="1"/>
      <c r="O419" s="218">
        <f t="shared" si="12"/>
        <v>0</v>
      </c>
      <c r="P419" s="218">
        <f t="shared" si="13"/>
        <v>0</v>
      </c>
      <c r="Q419" s="60"/>
      <c r="R419" s="52"/>
      <c r="S419" s="66"/>
      <c r="T419" s="65"/>
      <c r="U419" s="68"/>
      <c r="V419" s="59"/>
      <c r="W419" s="6">
        <f>'CLIENT ENROLLMENT DISCHARGE '!M418</f>
        <v>0</v>
      </c>
      <c r="X419" s="76">
        <f>'CLIENT ENROLLMENT DISCHARGE '!L418</f>
        <v>0</v>
      </c>
      <c r="Y419" s="180"/>
    </row>
    <row r="420" spans="1:25" ht="50.1" customHeight="1" x14ac:dyDescent="0.25">
      <c r="A420" s="5">
        <v>405</v>
      </c>
      <c r="B420" s="10">
        <f>'CLIENT ENROLLMENT DISCHARGE '!B419</f>
        <v>0</v>
      </c>
      <c r="C420" s="4">
        <f>'CLIENT ENROLLMENT DISCHARGE '!C419</f>
        <v>0</v>
      </c>
      <c r="D420" s="51"/>
      <c r="E420" s="52"/>
      <c r="F420" s="51"/>
      <c r="G420" s="52"/>
      <c r="H420" s="62"/>
      <c r="I420" s="115"/>
      <c r="J420" s="143"/>
      <c r="K420" s="70"/>
      <c r="L420" s="52"/>
      <c r="M420" s="8"/>
      <c r="N420" s="7"/>
      <c r="O420" s="218">
        <f t="shared" si="12"/>
        <v>0</v>
      </c>
      <c r="P420" s="218">
        <f t="shared" si="13"/>
        <v>0</v>
      </c>
      <c r="Q420" s="59"/>
      <c r="R420" s="51"/>
      <c r="S420" s="65"/>
      <c r="T420" s="64"/>
      <c r="U420" s="67"/>
      <c r="V420" s="74"/>
      <c r="W420" s="6">
        <f>'CLIENT ENROLLMENT DISCHARGE '!M419</f>
        <v>0</v>
      </c>
      <c r="X420" s="76">
        <f>'CLIENT ENROLLMENT DISCHARGE '!L419</f>
        <v>0</v>
      </c>
      <c r="Y420" s="180"/>
    </row>
    <row r="421" spans="1:25" ht="50.1" customHeight="1" x14ac:dyDescent="0.25">
      <c r="A421" s="5">
        <v>406</v>
      </c>
      <c r="B421" s="10">
        <f>'CLIENT ENROLLMENT DISCHARGE '!B420</f>
        <v>0</v>
      </c>
      <c r="C421" s="4">
        <f>'CLIENT ENROLLMENT DISCHARGE '!C420</f>
        <v>0</v>
      </c>
      <c r="D421" s="52"/>
      <c r="E421" s="53"/>
      <c r="F421" s="52"/>
      <c r="G421" s="53"/>
      <c r="H421" s="63"/>
      <c r="I421" s="116"/>
      <c r="J421" s="3"/>
      <c r="K421" s="71"/>
      <c r="L421" s="53"/>
      <c r="M421" s="2"/>
      <c r="N421" s="1"/>
      <c r="O421" s="218">
        <f t="shared" si="12"/>
        <v>0</v>
      </c>
      <c r="P421" s="218">
        <f t="shared" si="13"/>
        <v>0</v>
      </c>
      <c r="Q421" s="60"/>
      <c r="R421" s="52"/>
      <c r="S421" s="66"/>
      <c r="T421" s="65"/>
      <c r="U421" s="68"/>
      <c r="V421" s="75"/>
      <c r="W421" s="6">
        <f>'CLIENT ENROLLMENT DISCHARGE '!M420</f>
        <v>0</v>
      </c>
      <c r="X421" s="76">
        <f>'CLIENT ENROLLMENT DISCHARGE '!L420</f>
        <v>0</v>
      </c>
      <c r="Y421" s="180"/>
    </row>
    <row r="422" spans="1:25" ht="50.1" customHeight="1" x14ac:dyDescent="0.25">
      <c r="A422" s="5">
        <v>407</v>
      </c>
      <c r="B422" s="10">
        <f>'CLIENT ENROLLMENT DISCHARGE '!B421</f>
        <v>0</v>
      </c>
      <c r="C422" s="4">
        <f>'CLIENT ENROLLMENT DISCHARGE '!C421</f>
        <v>0</v>
      </c>
      <c r="D422" s="51"/>
      <c r="E422" s="52"/>
      <c r="F422" s="51"/>
      <c r="G422" s="52"/>
      <c r="H422" s="62"/>
      <c r="I422" s="115"/>
      <c r="J422" s="143"/>
      <c r="K422" s="70"/>
      <c r="L422" s="52"/>
      <c r="M422" s="8"/>
      <c r="N422" s="7"/>
      <c r="O422" s="218">
        <f t="shared" si="12"/>
        <v>0</v>
      </c>
      <c r="P422" s="218">
        <f t="shared" si="13"/>
        <v>0</v>
      </c>
      <c r="Q422" s="59"/>
      <c r="R422" s="51"/>
      <c r="S422" s="65"/>
      <c r="T422" s="64"/>
      <c r="U422" s="67"/>
      <c r="V422" s="74"/>
      <c r="W422" s="6">
        <f>'CLIENT ENROLLMENT DISCHARGE '!M421</f>
        <v>0</v>
      </c>
      <c r="X422" s="76">
        <f>'CLIENT ENROLLMENT DISCHARGE '!L421</f>
        <v>0</v>
      </c>
      <c r="Y422" s="180"/>
    </row>
    <row r="423" spans="1:25" ht="50.1" customHeight="1" x14ac:dyDescent="0.25">
      <c r="A423" s="5">
        <v>408</v>
      </c>
      <c r="B423" s="10">
        <f>'CLIENT ENROLLMENT DISCHARGE '!B422</f>
        <v>0</v>
      </c>
      <c r="C423" s="4">
        <f>'CLIENT ENROLLMENT DISCHARGE '!C422</f>
        <v>0</v>
      </c>
      <c r="D423" s="52"/>
      <c r="E423" s="53"/>
      <c r="F423" s="52"/>
      <c r="G423" s="53"/>
      <c r="H423" s="63"/>
      <c r="I423" s="116"/>
      <c r="J423" s="144"/>
      <c r="K423" s="71"/>
      <c r="L423" s="53"/>
      <c r="M423" s="2"/>
      <c r="N423" s="1"/>
      <c r="O423" s="218">
        <f t="shared" si="12"/>
        <v>0</v>
      </c>
      <c r="P423" s="218">
        <f t="shared" si="13"/>
        <v>0</v>
      </c>
      <c r="Q423" s="60"/>
      <c r="R423" s="52"/>
      <c r="S423" s="66"/>
      <c r="T423" s="65"/>
      <c r="U423" s="68"/>
      <c r="V423" s="59"/>
      <c r="W423" s="6">
        <f>'CLIENT ENROLLMENT DISCHARGE '!M422</f>
        <v>0</v>
      </c>
      <c r="X423" s="76">
        <f>'CLIENT ENROLLMENT DISCHARGE '!L422</f>
        <v>0</v>
      </c>
      <c r="Y423" s="180"/>
    </row>
    <row r="424" spans="1:25" ht="50.1" customHeight="1" x14ac:dyDescent="0.25">
      <c r="A424" s="5">
        <v>409</v>
      </c>
      <c r="B424" s="10">
        <f>'CLIENT ENROLLMENT DISCHARGE '!B423</f>
        <v>0</v>
      </c>
      <c r="C424" s="4">
        <f>'CLIENT ENROLLMENT DISCHARGE '!C423</f>
        <v>0</v>
      </c>
      <c r="D424" s="51"/>
      <c r="E424" s="52"/>
      <c r="F424" s="51"/>
      <c r="G424" s="52"/>
      <c r="H424" s="62"/>
      <c r="I424" s="115"/>
      <c r="J424" s="143"/>
      <c r="K424" s="70"/>
      <c r="L424" s="52"/>
      <c r="M424" s="8"/>
      <c r="N424" s="7"/>
      <c r="O424" s="218">
        <f t="shared" si="12"/>
        <v>0</v>
      </c>
      <c r="P424" s="218">
        <f t="shared" si="13"/>
        <v>0</v>
      </c>
      <c r="Q424" s="59"/>
      <c r="R424" s="51"/>
      <c r="S424" s="65"/>
      <c r="T424" s="64"/>
      <c r="U424" s="67"/>
      <c r="V424" s="74"/>
      <c r="W424" s="6">
        <f>'CLIENT ENROLLMENT DISCHARGE '!M423</f>
        <v>0</v>
      </c>
      <c r="X424" s="76">
        <f>'CLIENT ENROLLMENT DISCHARGE '!L423</f>
        <v>0</v>
      </c>
      <c r="Y424" s="180"/>
    </row>
    <row r="425" spans="1:25" ht="50.1" customHeight="1" x14ac:dyDescent="0.25">
      <c r="A425" s="5">
        <v>410</v>
      </c>
      <c r="B425" s="10">
        <f>'CLIENT ENROLLMENT DISCHARGE '!B424</f>
        <v>0</v>
      </c>
      <c r="C425" s="4">
        <f>'CLIENT ENROLLMENT DISCHARGE '!C424</f>
        <v>0</v>
      </c>
      <c r="D425" s="52"/>
      <c r="E425" s="53"/>
      <c r="F425" s="52"/>
      <c r="G425" s="53"/>
      <c r="H425" s="63"/>
      <c r="I425" s="116"/>
      <c r="J425" s="144"/>
      <c r="K425" s="71"/>
      <c r="L425" s="53"/>
      <c r="M425" s="2"/>
      <c r="N425" s="1"/>
      <c r="O425" s="218">
        <f t="shared" si="12"/>
        <v>0</v>
      </c>
      <c r="P425" s="218">
        <f t="shared" si="13"/>
        <v>0</v>
      </c>
      <c r="Q425" s="60"/>
      <c r="R425" s="52"/>
      <c r="S425" s="66"/>
      <c r="T425" s="65"/>
      <c r="U425" s="68"/>
      <c r="V425" s="59"/>
      <c r="W425" s="6">
        <f>'CLIENT ENROLLMENT DISCHARGE '!M424</f>
        <v>0</v>
      </c>
      <c r="X425" s="76">
        <f>'CLIENT ENROLLMENT DISCHARGE '!L424</f>
        <v>0</v>
      </c>
      <c r="Y425" s="180"/>
    </row>
    <row r="426" spans="1:25" ht="50.1" customHeight="1" x14ac:dyDescent="0.25">
      <c r="A426" s="5">
        <v>411</v>
      </c>
      <c r="B426" s="10">
        <f>'CLIENT ENROLLMENT DISCHARGE '!B425</f>
        <v>0</v>
      </c>
      <c r="C426" s="4">
        <f>'CLIENT ENROLLMENT DISCHARGE '!C425</f>
        <v>0</v>
      </c>
      <c r="D426" s="51"/>
      <c r="E426" s="52"/>
      <c r="F426" s="51"/>
      <c r="G426" s="52"/>
      <c r="H426" s="62"/>
      <c r="I426" s="115"/>
      <c r="J426" s="143"/>
      <c r="K426" s="70"/>
      <c r="L426" s="52"/>
      <c r="M426" s="8"/>
      <c r="N426" s="7"/>
      <c r="O426" s="218">
        <f t="shared" si="12"/>
        <v>0</v>
      </c>
      <c r="P426" s="218">
        <f t="shared" si="13"/>
        <v>0</v>
      </c>
      <c r="Q426" s="59"/>
      <c r="R426" s="51"/>
      <c r="S426" s="65"/>
      <c r="T426" s="64"/>
      <c r="U426" s="67"/>
      <c r="V426" s="74"/>
      <c r="W426" s="6">
        <f>'CLIENT ENROLLMENT DISCHARGE '!M425</f>
        <v>0</v>
      </c>
      <c r="X426" s="76">
        <f>'CLIENT ENROLLMENT DISCHARGE '!L425</f>
        <v>0</v>
      </c>
      <c r="Y426" s="180"/>
    </row>
    <row r="427" spans="1:25" ht="50.1" customHeight="1" x14ac:dyDescent="0.25">
      <c r="A427" s="5">
        <v>412</v>
      </c>
      <c r="B427" s="10">
        <f>'CLIENT ENROLLMENT DISCHARGE '!B426</f>
        <v>0</v>
      </c>
      <c r="C427" s="4">
        <f>'CLIENT ENROLLMENT DISCHARGE '!C426</f>
        <v>0</v>
      </c>
      <c r="D427" s="52"/>
      <c r="E427" s="53"/>
      <c r="F427" s="52"/>
      <c r="G427" s="53"/>
      <c r="H427" s="63"/>
      <c r="I427" s="116"/>
      <c r="J427" s="144"/>
      <c r="K427" s="71"/>
      <c r="L427" s="53"/>
      <c r="M427" s="2"/>
      <c r="N427" s="1"/>
      <c r="O427" s="218">
        <f t="shared" si="12"/>
        <v>0</v>
      </c>
      <c r="P427" s="218">
        <f t="shared" si="13"/>
        <v>0</v>
      </c>
      <c r="Q427" s="60"/>
      <c r="R427" s="52"/>
      <c r="S427" s="66"/>
      <c r="T427" s="65"/>
      <c r="U427" s="68"/>
      <c r="V427" s="59"/>
      <c r="W427" s="6">
        <f>'CLIENT ENROLLMENT DISCHARGE '!M426</f>
        <v>0</v>
      </c>
      <c r="X427" s="76">
        <f>'CLIENT ENROLLMENT DISCHARGE '!L426</f>
        <v>0</v>
      </c>
      <c r="Y427" s="180"/>
    </row>
    <row r="428" spans="1:25" ht="50.1" customHeight="1" x14ac:dyDescent="0.25">
      <c r="A428" s="5">
        <v>413</v>
      </c>
      <c r="B428" s="10">
        <f>'CLIENT ENROLLMENT DISCHARGE '!B427</f>
        <v>0</v>
      </c>
      <c r="C428" s="4">
        <f>'CLIENT ENROLLMENT DISCHARGE '!C427</f>
        <v>0</v>
      </c>
      <c r="D428" s="51"/>
      <c r="E428" s="52"/>
      <c r="F428" s="51"/>
      <c r="G428" s="52"/>
      <c r="H428" s="62"/>
      <c r="I428" s="115"/>
      <c r="J428" s="143"/>
      <c r="K428" s="70"/>
      <c r="L428" s="52"/>
      <c r="M428" s="8"/>
      <c r="N428" s="7"/>
      <c r="O428" s="218">
        <f t="shared" si="12"/>
        <v>0</v>
      </c>
      <c r="P428" s="218">
        <f t="shared" si="13"/>
        <v>0</v>
      </c>
      <c r="Q428" s="59"/>
      <c r="R428" s="51"/>
      <c r="S428" s="65"/>
      <c r="T428" s="64"/>
      <c r="U428" s="67"/>
      <c r="V428" s="74"/>
      <c r="W428" s="6">
        <f>'CLIENT ENROLLMENT DISCHARGE '!M427</f>
        <v>0</v>
      </c>
      <c r="X428" s="76">
        <f>'CLIENT ENROLLMENT DISCHARGE '!L427</f>
        <v>0</v>
      </c>
      <c r="Y428" s="180"/>
    </row>
    <row r="429" spans="1:25" ht="50.1" customHeight="1" x14ac:dyDescent="0.25">
      <c r="A429" s="5">
        <v>414</v>
      </c>
      <c r="B429" s="10">
        <f>'CLIENT ENROLLMENT DISCHARGE '!B428</f>
        <v>0</v>
      </c>
      <c r="C429" s="4">
        <f>'CLIENT ENROLLMENT DISCHARGE '!C428</f>
        <v>0</v>
      </c>
      <c r="D429" s="52"/>
      <c r="E429" s="53"/>
      <c r="F429" s="52"/>
      <c r="G429" s="53"/>
      <c r="H429" s="63"/>
      <c r="I429" s="116"/>
      <c r="J429" s="144"/>
      <c r="K429" s="71"/>
      <c r="L429" s="53"/>
      <c r="M429" s="2"/>
      <c r="N429" s="1"/>
      <c r="O429" s="218">
        <f t="shared" si="12"/>
        <v>0</v>
      </c>
      <c r="P429" s="218">
        <f t="shared" si="13"/>
        <v>0</v>
      </c>
      <c r="Q429" s="60"/>
      <c r="R429" s="52"/>
      <c r="S429" s="66"/>
      <c r="T429" s="65"/>
      <c r="U429" s="68"/>
      <c r="V429" s="59"/>
      <c r="W429" s="6">
        <f>'CLIENT ENROLLMENT DISCHARGE '!M428</f>
        <v>0</v>
      </c>
      <c r="X429" s="76">
        <f>'CLIENT ENROLLMENT DISCHARGE '!L428</f>
        <v>0</v>
      </c>
      <c r="Y429" s="180"/>
    </row>
    <row r="430" spans="1:25" ht="50.1" customHeight="1" x14ac:dyDescent="0.25">
      <c r="A430" s="5">
        <v>415</v>
      </c>
      <c r="B430" s="10">
        <f>'CLIENT ENROLLMENT DISCHARGE '!B429</f>
        <v>0</v>
      </c>
      <c r="C430" s="4">
        <f>'CLIENT ENROLLMENT DISCHARGE '!C429</f>
        <v>0</v>
      </c>
      <c r="D430" s="51"/>
      <c r="E430" s="52"/>
      <c r="F430" s="51"/>
      <c r="G430" s="52"/>
      <c r="H430" s="62"/>
      <c r="I430" s="115"/>
      <c r="J430" s="143"/>
      <c r="K430" s="70"/>
      <c r="L430" s="52"/>
      <c r="M430" s="8"/>
      <c r="N430" s="7"/>
      <c r="O430" s="218">
        <f t="shared" si="12"/>
        <v>0</v>
      </c>
      <c r="P430" s="218">
        <f t="shared" si="13"/>
        <v>0</v>
      </c>
      <c r="Q430" s="59"/>
      <c r="R430" s="51"/>
      <c r="S430" s="65"/>
      <c r="T430" s="64"/>
      <c r="U430" s="67"/>
      <c r="V430" s="74"/>
      <c r="W430" s="6">
        <f>'CLIENT ENROLLMENT DISCHARGE '!M429</f>
        <v>0</v>
      </c>
      <c r="X430" s="76">
        <f>'CLIENT ENROLLMENT DISCHARGE '!L429</f>
        <v>0</v>
      </c>
      <c r="Y430" s="180"/>
    </row>
    <row r="431" spans="1:25" ht="50.1" customHeight="1" x14ac:dyDescent="0.25">
      <c r="A431" s="5">
        <v>416</v>
      </c>
      <c r="B431" s="10">
        <f>'CLIENT ENROLLMENT DISCHARGE '!B430</f>
        <v>0</v>
      </c>
      <c r="C431" s="4">
        <f>'CLIENT ENROLLMENT DISCHARGE '!C430</f>
        <v>0</v>
      </c>
      <c r="D431" s="52"/>
      <c r="E431" s="53"/>
      <c r="F431" s="52"/>
      <c r="G431" s="53"/>
      <c r="H431" s="63"/>
      <c r="I431" s="116"/>
      <c r="J431" s="144"/>
      <c r="K431" s="71"/>
      <c r="L431" s="53"/>
      <c r="M431" s="2"/>
      <c r="N431" s="1"/>
      <c r="O431" s="218">
        <f t="shared" si="12"/>
        <v>0</v>
      </c>
      <c r="P431" s="218">
        <f t="shared" si="13"/>
        <v>0</v>
      </c>
      <c r="Q431" s="60"/>
      <c r="R431" s="52"/>
      <c r="S431" s="66"/>
      <c r="T431" s="65"/>
      <c r="U431" s="68"/>
      <c r="V431" s="75"/>
      <c r="W431" s="6">
        <f>'CLIENT ENROLLMENT DISCHARGE '!M430</f>
        <v>0</v>
      </c>
      <c r="X431" s="76">
        <f>'CLIENT ENROLLMENT DISCHARGE '!L430</f>
        <v>0</v>
      </c>
      <c r="Y431" s="180"/>
    </row>
    <row r="432" spans="1:25" ht="50.1" customHeight="1" x14ac:dyDescent="0.25">
      <c r="A432" s="5">
        <v>417</v>
      </c>
      <c r="B432" s="10">
        <f>'CLIENT ENROLLMENT DISCHARGE '!B431</f>
        <v>0</v>
      </c>
      <c r="C432" s="4">
        <f>'CLIENT ENROLLMENT DISCHARGE '!C431</f>
        <v>0</v>
      </c>
      <c r="D432" s="51"/>
      <c r="E432" s="52"/>
      <c r="F432" s="51"/>
      <c r="G432" s="52"/>
      <c r="H432" s="62"/>
      <c r="I432" s="115"/>
      <c r="J432" s="143"/>
      <c r="K432" s="70"/>
      <c r="L432" s="52"/>
      <c r="M432" s="8"/>
      <c r="N432" s="7"/>
      <c r="O432" s="218">
        <f t="shared" si="12"/>
        <v>0</v>
      </c>
      <c r="P432" s="218">
        <f t="shared" si="13"/>
        <v>0</v>
      </c>
      <c r="Q432" s="59"/>
      <c r="R432" s="51"/>
      <c r="S432" s="65"/>
      <c r="T432" s="64"/>
      <c r="U432" s="67"/>
      <c r="V432" s="74"/>
      <c r="W432" s="6">
        <f>'CLIENT ENROLLMENT DISCHARGE '!M431</f>
        <v>0</v>
      </c>
      <c r="X432" s="76">
        <f>'CLIENT ENROLLMENT DISCHARGE '!L431</f>
        <v>0</v>
      </c>
      <c r="Y432" s="180"/>
    </row>
    <row r="433" spans="1:25" ht="50.1" customHeight="1" x14ac:dyDescent="0.25">
      <c r="A433" s="5">
        <v>418</v>
      </c>
      <c r="B433" s="10">
        <f>'CLIENT ENROLLMENT DISCHARGE '!B432</f>
        <v>0</v>
      </c>
      <c r="C433" s="4">
        <f>'CLIENT ENROLLMENT DISCHARGE '!C432</f>
        <v>0</v>
      </c>
      <c r="D433" s="52"/>
      <c r="E433" s="53"/>
      <c r="F433" s="52"/>
      <c r="G433" s="53"/>
      <c r="H433" s="63"/>
      <c r="I433" s="116"/>
      <c r="J433" s="144"/>
      <c r="K433" s="71"/>
      <c r="L433" s="53"/>
      <c r="M433" s="2"/>
      <c r="N433" s="1"/>
      <c r="O433" s="218">
        <f t="shared" si="12"/>
        <v>0</v>
      </c>
      <c r="P433" s="218">
        <f t="shared" si="13"/>
        <v>0</v>
      </c>
      <c r="Q433" s="60"/>
      <c r="R433" s="52"/>
      <c r="S433" s="66"/>
      <c r="T433" s="65"/>
      <c r="U433" s="68"/>
      <c r="V433" s="59"/>
      <c r="W433" s="6">
        <f>'CLIENT ENROLLMENT DISCHARGE '!M432</f>
        <v>0</v>
      </c>
      <c r="X433" s="76">
        <f>'CLIENT ENROLLMENT DISCHARGE '!L432</f>
        <v>0</v>
      </c>
      <c r="Y433" s="180"/>
    </row>
    <row r="434" spans="1:25" ht="50.1" customHeight="1" x14ac:dyDescent="0.25">
      <c r="A434" s="5">
        <v>419</v>
      </c>
      <c r="B434" s="10">
        <f>'CLIENT ENROLLMENT DISCHARGE '!B433</f>
        <v>0</v>
      </c>
      <c r="C434" s="4">
        <f>'CLIENT ENROLLMENT DISCHARGE '!C433</f>
        <v>0</v>
      </c>
      <c r="D434" s="51"/>
      <c r="E434" s="52"/>
      <c r="F434" s="51"/>
      <c r="G434" s="52"/>
      <c r="H434" s="62"/>
      <c r="I434" s="115"/>
      <c r="J434" s="143"/>
      <c r="K434" s="70"/>
      <c r="L434" s="52"/>
      <c r="M434" s="8"/>
      <c r="N434" s="7"/>
      <c r="O434" s="218">
        <f t="shared" si="12"/>
        <v>0</v>
      </c>
      <c r="P434" s="218">
        <f t="shared" si="13"/>
        <v>0</v>
      </c>
      <c r="Q434" s="59"/>
      <c r="R434" s="51"/>
      <c r="S434" s="65"/>
      <c r="T434" s="64"/>
      <c r="U434" s="67"/>
      <c r="V434" s="74"/>
      <c r="W434" s="6">
        <f>'CLIENT ENROLLMENT DISCHARGE '!M433</f>
        <v>0</v>
      </c>
      <c r="X434" s="76">
        <f>'CLIENT ENROLLMENT DISCHARGE '!L433</f>
        <v>0</v>
      </c>
      <c r="Y434" s="180"/>
    </row>
    <row r="435" spans="1:25" ht="50.1" customHeight="1" x14ac:dyDescent="0.25">
      <c r="A435" s="5">
        <v>420</v>
      </c>
      <c r="B435" s="10">
        <f>'CLIENT ENROLLMENT DISCHARGE '!B434</f>
        <v>0</v>
      </c>
      <c r="C435" s="4">
        <f>'CLIENT ENROLLMENT DISCHARGE '!C434</f>
        <v>0</v>
      </c>
      <c r="D435" s="52"/>
      <c r="E435" s="53"/>
      <c r="F435" s="52"/>
      <c r="G435" s="53"/>
      <c r="H435" s="63"/>
      <c r="I435" s="116"/>
      <c r="J435" s="144"/>
      <c r="K435" s="71"/>
      <c r="L435" s="53"/>
      <c r="M435" s="2"/>
      <c r="N435" s="1"/>
      <c r="O435" s="218">
        <f t="shared" si="12"/>
        <v>0</v>
      </c>
      <c r="P435" s="218">
        <f t="shared" si="13"/>
        <v>0</v>
      </c>
      <c r="Q435" s="60"/>
      <c r="R435" s="52"/>
      <c r="S435" s="66"/>
      <c r="T435" s="65"/>
      <c r="U435" s="68"/>
      <c r="V435" s="59"/>
      <c r="W435" s="6">
        <f>'CLIENT ENROLLMENT DISCHARGE '!M434</f>
        <v>0</v>
      </c>
      <c r="X435" s="76">
        <f>'CLIENT ENROLLMENT DISCHARGE '!L434</f>
        <v>0</v>
      </c>
      <c r="Y435" s="180"/>
    </row>
    <row r="436" spans="1:25" ht="50.1" customHeight="1" x14ac:dyDescent="0.25">
      <c r="A436" s="5">
        <v>421</v>
      </c>
      <c r="B436" s="10">
        <f>'CLIENT ENROLLMENT DISCHARGE '!B435</f>
        <v>0</v>
      </c>
      <c r="C436" s="4">
        <f>'CLIENT ENROLLMENT DISCHARGE '!C435</f>
        <v>0</v>
      </c>
      <c r="D436" s="51"/>
      <c r="E436" s="52"/>
      <c r="F436" s="51"/>
      <c r="G436" s="52"/>
      <c r="H436" s="62"/>
      <c r="I436" s="115"/>
      <c r="J436" s="143"/>
      <c r="K436" s="70"/>
      <c r="L436" s="52"/>
      <c r="M436" s="8"/>
      <c r="N436" s="7"/>
      <c r="O436" s="218">
        <f t="shared" si="12"/>
        <v>0</v>
      </c>
      <c r="P436" s="218">
        <f t="shared" si="13"/>
        <v>0</v>
      </c>
      <c r="Q436" s="59"/>
      <c r="R436" s="51"/>
      <c r="S436" s="65"/>
      <c r="T436" s="64"/>
      <c r="U436" s="67"/>
      <c r="V436" s="74"/>
      <c r="W436" s="6">
        <f>'CLIENT ENROLLMENT DISCHARGE '!M435</f>
        <v>0</v>
      </c>
      <c r="X436" s="76">
        <f>'CLIENT ENROLLMENT DISCHARGE '!L435</f>
        <v>0</v>
      </c>
      <c r="Y436" s="180"/>
    </row>
    <row r="437" spans="1:25" ht="50.1" customHeight="1" x14ac:dyDescent="0.25">
      <c r="A437" s="5">
        <v>422</v>
      </c>
      <c r="B437" s="10">
        <f>'CLIENT ENROLLMENT DISCHARGE '!B436</f>
        <v>0</v>
      </c>
      <c r="C437" s="4">
        <f>'CLIENT ENROLLMENT DISCHARGE '!C436</f>
        <v>0</v>
      </c>
      <c r="D437" s="52"/>
      <c r="E437" s="53"/>
      <c r="F437" s="52"/>
      <c r="G437" s="53"/>
      <c r="H437" s="63"/>
      <c r="I437" s="116"/>
      <c r="J437" s="144"/>
      <c r="K437" s="71"/>
      <c r="L437" s="53"/>
      <c r="M437" s="2"/>
      <c r="N437" s="1"/>
      <c r="O437" s="218">
        <f t="shared" si="12"/>
        <v>0</v>
      </c>
      <c r="P437" s="218">
        <f t="shared" si="13"/>
        <v>0</v>
      </c>
      <c r="Q437" s="60"/>
      <c r="R437" s="52"/>
      <c r="S437" s="66"/>
      <c r="T437" s="65"/>
      <c r="U437" s="68"/>
      <c r="V437" s="59"/>
      <c r="W437" s="6">
        <f>'CLIENT ENROLLMENT DISCHARGE '!M436</f>
        <v>0</v>
      </c>
      <c r="X437" s="76">
        <f>'CLIENT ENROLLMENT DISCHARGE '!L436</f>
        <v>0</v>
      </c>
      <c r="Y437" s="180"/>
    </row>
    <row r="438" spans="1:25" ht="50.1" customHeight="1" x14ac:dyDescent="0.25">
      <c r="A438" s="5">
        <v>423</v>
      </c>
      <c r="B438" s="10">
        <f>'CLIENT ENROLLMENT DISCHARGE '!B437</f>
        <v>0</v>
      </c>
      <c r="C438" s="4">
        <f>'CLIENT ENROLLMENT DISCHARGE '!C437</f>
        <v>0</v>
      </c>
      <c r="D438" s="51"/>
      <c r="E438" s="52"/>
      <c r="F438" s="51"/>
      <c r="G438" s="52"/>
      <c r="H438" s="62"/>
      <c r="I438" s="115"/>
      <c r="J438" s="143"/>
      <c r="K438" s="70"/>
      <c r="L438" s="52"/>
      <c r="M438" s="8"/>
      <c r="N438" s="7"/>
      <c r="O438" s="218">
        <f t="shared" si="12"/>
        <v>0</v>
      </c>
      <c r="P438" s="218">
        <f t="shared" si="13"/>
        <v>0</v>
      </c>
      <c r="Q438" s="59"/>
      <c r="R438" s="51"/>
      <c r="S438" s="65"/>
      <c r="T438" s="64"/>
      <c r="U438" s="67"/>
      <c r="V438" s="74"/>
      <c r="W438" s="6">
        <f>'CLIENT ENROLLMENT DISCHARGE '!M437</f>
        <v>0</v>
      </c>
      <c r="X438" s="76">
        <f>'CLIENT ENROLLMENT DISCHARGE '!L437</f>
        <v>0</v>
      </c>
      <c r="Y438" s="180"/>
    </row>
    <row r="439" spans="1:25" ht="50.1" customHeight="1" x14ac:dyDescent="0.25">
      <c r="A439" s="5">
        <v>424</v>
      </c>
      <c r="B439" s="10">
        <f>'CLIENT ENROLLMENT DISCHARGE '!B438</f>
        <v>0</v>
      </c>
      <c r="C439" s="4">
        <f>'CLIENT ENROLLMENT DISCHARGE '!C438</f>
        <v>0</v>
      </c>
      <c r="D439" s="52"/>
      <c r="E439" s="53"/>
      <c r="F439" s="52"/>
      <c r="G439" s="53"/>
      <c r="H439" s="63"/>
      <c r="I439" s="116"/>
      <c r="J439" s="144"/>
      <c r="K439" s="71"/>
      <c r="L439" s="53"/>
      <c r="M439" s="2"/>
      <c r="N439" s="1"/>
      <c r="O439" s="218">
        <f t="shared" si="12"/>
        <v>0</v>
      </c>
      <c r="P439" s="218">
        <f t="shared" si="13"/>
        <v>0</v>
      </c>
      <c r="Q439" s="60"/>
      <c r="R439" s="52"/>
      <c r="S439" s="66"/>
      <c r="T439" s="65"/>
      <c r="U439" s="68"/>
      <c r="V439" s="59"/>
      <c r="W439" s="6">
        <f>'CLIENT ENROLLMENT DISCHARGE '!M438</f>
        <v>0</v>
      </c>
      <c r="X439" s="76">
        <f>'CLIENT ENROLLMENT DISCHARGE '!L438</f>
        <v>0</v>
      </c>
      <c r="Y439" s="180"/>
    </row>
    <row r="440" spans="1:25" ht="50.1" customHeight="1" x14ac:dyDescent="0.25">
      <c r="A440" s="5">
        <v>425</v>
      </c>
      <c r="B440" s="10">
        <f>'CLIENT ENROLLMENT DISCHARGE '!B439</f>
        <v>0</v>
      </c>
      <c r="C440" s="4">
        <f>'CLIENT ENROLLMENT DISCHARGE '!C439</f>
        <v>0</v>
      </c>
      <c r="D440" s="51"/>
      <c r="E440" s="52"/>
      <c r="F440" s="51"/>
      <c r="G440" s="52"/>
      <c r="H440" s="62"/>
      <c r="I440" s="115"/>
      <c r="J440" s="143"/>
      <c r="K440" s="70"/>
      <c r="L440" s="52"/>
      <c r="M440" s="8"/>
      <c r="N440" s="7"/>
      <c r="O440" s="218">
        <f t="shared" si="12"/>
        <v>0</v>
      </c>
      <c r="P440" s="218">
        <f t="shared" si="13"/>
        <v>0</v>
      </c>
      <c r="Q440" s="59"/>
      <c r="R440" s="51"/>
      <c r="S440" s="65"/>
      <c r="T440" s="64"/>
      <c r="U440" s="67"/>
      <c r="V440" s="74"/>
      <c r="W440" s="6">
        <f>'CLIENT ENROLLMENT DISCHARGE '!M439</f>
        <v>0</v>
      </c>
      <c r="X440" s="76">
        <f>'CLIENT ENROLLMENT DISCHARGE '!L439</f>
        <v>0</v>
      </c>
      <c r="Y440" s="180"/>
    </row>
    <row r="441" spans="1:25" ht="50.1" customHeight="1" x14ac:dyDescent="0.25">
      <c r="A441" s="5">
        <v>426</v>
      </c>
      <c r="B441" s="10">
        <f>'CLIENT ENROLLMENT DISCHARGE '!B440</f>
        <v>0</v>
      </c>
      <c r="C441" s="4">
        <f>'CLIENT ENROLLMENT DISCHARGE '!C440</f>
        <v>0</v>
      </c>
      <c r="D441" s="52"/>
      <c r="E441" s="53"/>
      <c r="F441" s="52"/>
      <c r="G441" s="53"/>
      <c r="H441" s="63"/>
      <c r="I441" s="116"/>
      <c r="J441" s="3"/>
      <c r="K441" s="71"/>
      <c r="L441" s="53"/>
      <c r="M441" s="2"/>
      <c r="N441" s="1"/>
      <c r="O441" s="218">
        <f t="shared" si="12"/>
        <v>0</v>
      </c>
      <c r="P441" s="218">
        <f t="shared" si="13"/>
        <v>0</v>
      </c>
      <c r="Q441" s="60"/>
      <c r="R441" s="52"/>
      <c r="S441" s="66"/>
      <c r="T441" s="65"/>
      <c r="U441" s="68"/>
      <c r="V441" s="75"/>
      <c r="W441" s="6">
        <f>'CLIENT ENROLLMENT DISCHARGE '!M440</f>
        <v>0</v>
      </c>
      <c r="X441" s="76">
        <f>'CLIENT ENROLLMENT DISCHARGE '!L440</f>
        <v>0</v>
      </c>
      <c r="Y441" s="180"/>
    </row>
    <row r="442" spans="1:25" ht="50.1" customHeight="1" x14ac:dyDescent="0.25">
      <c r="A442" s="5">
        <v>427</v>
      </c>
      <c r="B442" s="10">
        <f>'CLIENT ENROLLMENT DISCHARGE '!B441</f>
        <v>0</v>
      </c>
      <c r="C442" s="4">
        <f>'CLIENT ENROLLMENT DISCHARGE '!C441</f>
        <v>0</v>
      </c>
      <c r="D442" s="51"/>
      <c r="E442" s="52"/>
      <c r="F442" s="51"/>
      <c r="G442" s="52"/>
      <c r="H442" s="62"/>
      <c r="I442" s="115"/>
      <c r="J442" s="143"/>
      <c r="K442" s="70"/>
      <c r="L442" s="52"/>
      <c r="M442" s="8"/>
      <c r="N442" s="7"/>
      <c r="O442" s="218">
        <f t="shared" si="12"/>
        <v>0</v>
      </c>
      <c r="P442" s="218">
        <f t="shared" si="13"/>
        <v>0</v>
      </c>
      <c r="Q442" s="59"/>
      <c r="R442" s="51"/>
      <c r="S442" s="65"/>
      <c r="T442" s="64"/>
      <c r="U442" s="67"/>
      <c r="V442" s="74"/>
      <c r="W442" s="6">
        <f>'CLIENT ENROLLMENT DISCHARGE '!M441</f>
        <v>0</v>
      </c>
      <c r="X442" s="76">
        <f>'CLIENT ENROLLMENT DISCHARGE '!L441</f>
        <v>0</v>
      </c>
      <c r="Y442" s="180"/>
    </row>
    <row r="443" spans="1:25" ht="50.1" customHeight="1" x14ac:dyDescent="0.25">
      <c r="A443" s="5">
        <v>428</v>
      </c>
      <c r="B443" s="10">
        <f>'CLIENT ENROLLMENT DISCHARGE '!B442</f>
        <v>0</v>
      </c>
      <c r="C443" s="4">
        <f>'CLIENT ENROLLMENT DISCHARGE '!C442</f>
        <v>0</v>
      </c>
      <c r="D443" s="52"/>
      <c r="E443" s="53"/>
      <c r="F443" s="52"/>
      <c r="G443" s="53"/>
      <c r="H443" s="63"/>
      <c r="I443" s="116"/>
      <c r="J443" s="144"/>
      <c r="K443" s="71"/>
      <c r="L443" s="53"/>
      <c r="M443" s="2"/>
      <c r="N443" s="1"/>
      <c r="O443" s="218">
        <f t="shared" si="12"/>
        <v>0</v>
      </c>
      <c r="P443" s="218">
        <f t="shared" si="13"/>
        <v>0</v>
      </c>
      <c r="Q443" s="60"/>
      <c r="R443" s="52"/>
      <c r="S443" s="66"/>
      <c r="T443" s="65"/>
      <c r="U443" s="68"/>
      <c r="V443" s="59"/>
      <c r="W443" s="6">
        <f>'CLIENT ENROLLMENT DISCHARGE '!M442</f>
        <v>0</v>
      </c>
      <c r="X443" s="76">
        <f>'CLIENT ENROLLMENT DISCHARGE '!L442</f>
        <v>0</v>
      </c>
      <c r="Y443" s="180"/>
    </row>
    <row r="444" spans="1:25" ht="50.1" customHeight="1" x14ac:dyDescent="0.25">
      <c r="A444" s="5">
        <v>429</v>
      </c>
      <c r="B444" s="10">
        <f>'CLIENT ENROLLMENT DISCHARGE '!B443</f>
        <v>0</v>
      </c>
      <c r="C444" s="4">
        <f>'CLIENT ENROLLMENT DISCHARGE '!C443</f>
        <v>0</v>
      </c>
      <c r="D444" s="51"/>
      <c r="E444" s="52"/>
      <c r="F444" s="51"/>
      <c r="G444" s="52"/>
      <c r="H444" s="62"/>
      <c r="I444" s="115"/>
      <c r="J444" s="143"/>
      <c r="K444" s="70"/>
      <c r="L444" s="52"/>
      <c r="M444" s="8"/>
      <c r="N444" s="7"/>
      <c r="O444" s="218">
        <f t="shared" si="12"/>
        <v>0</v>
      </c>
      <c r="P444" s="218">
        <f t="shared" si="13"/>
        <v>0</v>
      </c>
      <c r="Q444" s="59"/>
      <c r="R444" s="51"/>
      <c r="S444" s="65"/>
      <c r="T444" s="64"/>
      <c r="U444" s="67"/>
      <c r="V444" s="74"/>
      <c r="W444" s="6">
        <f>'CLIENT ENROLLMENT DISCHARGE '!M443</f>
        <v>0</v>
      </c>
      <c r="X444" s="76">
        <f>'CLIENT ENROLLMENT DISCHARGE '!L443</f>
        <v>0</v>
      </c>
      <c r="Y444" s="180"/>
    </row>
    <row r="445" spans="1:25" ht="50.1" customHeight="1" x14ac:dyDescent="0.25">
      <c r="A445" s="5">
        <v>430</v>
      </c>
      <c r="B445" s="10">
        <f>'CLIENT ENROLLMENT DISCHARGE '!B444</f>
        <v>0</v>
      </c>
      <c r="C445" s="4">
        <f>'CLIENT ENROLLMENT DISCHARGE '!C444</f>
        <v>0</v>
      </c>
      <c r="D445" s="52"/>
      <c r="E445" s="53"/>
      <c r="F445" s="52"/>
      <c r="G445" s="53"/>
      <c r="H445" s="63"/>
      <c r="I445" s="116"/>
      <c r="J445" s="144"/>
      <c r="K445" s="71"/>
      <c r="L445" s="53"/>
      <c r="M445" s="2"/>
      <c r="N445" s="1"/>
      <c r="O445" s="218">
        <f t="shared" si="12"/>
        <v>0</v>
      </c>
      <c r="P445" s="218">
        <f t="shared" si="13"/>
        <v>0</v>
      </c>
      <c r="Q445" s="60"/>
      <c r="R445" s="52"/>
      <c r="S445" s="66"/>
      <c r="T445" s="65"/>
      <c r="U445" s="68"/>
      <c r="V445" s="59"/>
      <c r="W445" s="6">
        <f>'CLIENT ENROLLMENT DISCHARGE '!M444</f>
        <v>0</v>
      </c>
      <c r="X445" s="76">
        <f>'CLIENT ENROLLMENT DISCHARGE '!L444</f>
        <v>0</v>
      </c>
      <c r="Y445" s="180"/>
    </row>
    <row r="446" spans="1:25" ht="50.1" customHeight="1" x14ac:dyDescent="0.25">
      <c r="A446" s="5">
        <v>431</v>
      </c>
      <c r="B446" s="10">
        <f>'CLIENT ENROLLMENT DISCHARGE '!B445</f>
        <v>0</v>
      </c>
      <c r="C446" s="4">
        <f>'CLIENT ENROLLMENT DISCHARGE '!C445</f>
        <v>0</v>
      </c>
      <c r="D446" s="51"/>
      <c r="E446" s="52"/>
      <c r="F446" s="51"/>
      <c r="G446" s="52"/>
      <c r="H446" s="62"/>
      <c r="I446" s="115"/>
      <c r="J446" s="143"/>
      <c r="K446" s="70"/>
      <c r="L446" s="52"/>
      <c r="M446" s="8"/>
      <c r="N446" s="7"/>
      <c r="O446" s="218">
        <f t="shared" si="12"/>
        <v>0</v>
      </c>
      <c r="P446" s="218">
        <f t="shared" si="13"/>
        <v>0</v>
      </c>
      <c r="Q446" s="59"/>
      <c r="R446" s="51"/>
      <c r="S446" s="65"/>
      <c r="T446" s="64"/>
      <c r="U446" s="67"/>
      <c r="V446" s="74"/>
      <c r="W446" s="6">
        <f>'CLIENT ENROLLMENT DISCHARGE '!M445</f>
        <v>0</v>
      </c>
      <c r="X446" s="76">
        <f>'CLIENT ENROLLMENT DISCHARGE '!L445</f>
        <v>0</v>
      </c>
      <c r="Y446" s="180"/>
    </row>
    <row r="447" spans="1:25" ht="50.1" customHeight="1" x14ac:dyDescent="0.25">
      <c r="A447" s="5">
        <v>432</v>
      </c>
      <c r="B447" s="10">
        <f>'CLIENT ENROLLMENT DISCHARGE '!B446</f>
        <v>0</v>
      </c>
      <c r="C447" s="4">
        <f>'CLIENT ENROLLMENT DISCHARGE '!C446</f>
        <v>0</v>
      </c>
      <c r="D447" s="52"/>
      <c r="E447" s="53"/>
      <c r="F447" s="52"/>
      <c r="G447" s="53"/>
      <c r="H447" s="63"/>
      <c r="I447" s="116"/>
      <c r="J447" s="144"/>
      <c r="K447" s="71"/>
      <c r="L447" s="53"/>
      <c r="M447" s="2"/>
      <c r="N447" s="1"/>
      <c r="O447" s="218">
        <f t="shared" si="12"/>
        <v>0</v>
      </c>
      <c r="P447" s="218">
        <f t="shared" si="13"/>
        <v>0</v>
      </c>
      <c r="Q447" s="60"/>
      <c r="R447" s="52"/>
      <c r="S447" s="66"/>
      <c r="T447" s="65"/>
      <c r="U447" s="68"/>
      <c r="V447" s="59"/>
      <c r="W447" s="6">
        <f>'CLIENT ENROLLMENT DISCHARGE '!M446</f>
        <v>0</v>
      </c>
      <c r="X447" s="76">
        <f>'CLIENT ENROLLMENT DISCHARGE '!L446</f>
        <v>0</v>
      </c>
      <c r="Y447" s="180"/>
    </row>
    <row r="448" spans="1:25" ht="50.1" customHeight="1" x14ac:dyDescent="0.25">
      <c r="A448" s="5">
        <v>433</v>
      </c>
      <c r="B448" s="10">
        <f>'CLIENT ENROLLMENT DISCHARGE '!B447</f>
        <v>0</v>
      </c>
      <c r="C448" s="4">
        <f>'CLIENT ENROLLMENT DISCHARGE '!C447</f>
        <v>0</v>
      </c>
      <c r="D448" s="51"/>
      <c r="E448" s="52"/>
      <c r="F448" s="51"/>
      <c r="G448" s="52"/>
      <c r="H448" s="62"/>
      <c r="I448" s="115"/>
      <c r="J448" s="143"/>
      <c r="K448" s="70"/>
      <c r="L448" s="52"/>
      <c r="M448" s="8"/>
      <c r="N448" s="7"/>
      <c r="O448" s="218">
        <f t="shared" si="12"/>
        <v>0</v>
      </c>
      <c r="P448" s="218">
        <f t="shared" si="13"/>
        <v>0</v>
      </c>
      <c r="Q448" s="59"/>
      <c r="R448" s="51"/>
      <c r="S448" s="65"/>
      <c r="T448" s="64"/>
      <c r="U448" s="67"/>
      <c r="V448" s="74"/>
      <c r="W448" s="6">
        <f>'CLIENT ENROLLMENT DISCHARGE '!M447</f>
        <v>0</v>
      </c>
      <c r="X448" s="76">
        <f>'CLIENT ENROLLMENT DISCHARGE '!L447</f>
        <v>0</v>
      </c>
      <c r="Y448" s="180"/>
    </row>
    <row r="449" spans="1:25" ht="50.1" customHeight="1" x14ac:dyDescent="0.25">
      <c r="A449" s="5">
        <v>434</v>
      </c>
      <c r="B449" s="10">
        <f>'CLIENT ENROLLMENT DISCHARGE '!B448</f>
        <v>0</v>
      </c>
      <c r="C449" s="4">
        <f>'CLIENT ENROLLMENT DISCHARGE '!C448</f>
        <v>0</v>
      </c>
      <c r="D449" s="52"/>
      <c r="E449" s="53"/>
      <c r="F449" s="52"/>
      <c r="G449" s="53"/>
      <c r="H449" s="63"/>
      <c r="I449" s="116"/>
      <c r="J449" s="144"/>
      <c r="K449" s="71"/>
      <c r="L449" s="53"/>
      <c r="M449" s="2"/>
      <c r="N449" s="1"/>
      <c r="O449" s="218">
        <f t="shared" si="12"/>
        <v>0</v>
      </c>
      <c r="P449" s="218">
        <f t="shared" si="13"/>
        <v>0</v>
      </c>
      <c r="Q449" s="60"/>
      <c r="R449" s="52"/>
      <c r="S449" s="66"/>
      <c r="T449" s="65"/>
      <c r="U449" s="68"/>
      <c r="V449" s="59"/>
      <c r="W449" s="6">
        <f>'CLIENT ENROLLMENT DISCHARGE '!M448</f>
        <v>0</v>
      </c>
      <c r="X449" s="76">
        <f>'CLIENT ENROLLMENT DISCHARGE '!L448</f>
        <v>0</v>
      </c>
      <c r="Y449" s="180"/>
    </row>
    <row r="450" spans="1:25" ht="50.1" customHeight="1" x14ac:dyDescent="0.25">
      <c r="A450" s="5">
        <v>435</v>
      </c>
      <c r="B450" s="10">
        <f>'CLIENT ENROLLMENT DISCHARGE '!B449</f>
        <v>0</v>
      </c>
      <c r="C450" s="4">
        <f>'CLIENT ENROLLMENT DISCHARGE '!C449</f>
        <v>0</v>
      </c>
      <c r="D450" s="51"/>
      <c r="E450" s="52"/>
      <c r="F450" s="51"/>
      <c r="G450" s="52"/>
      <c r="H450" s="62"/>
      <c r="I450" s="115"/>
      <c r="J450" s="143"/>
      <c r="K450" s="70"/>
      <c r="L450" s="52"/>
      <c r="M450" s="8"/>
      <c r="N450" s="7"/>
      <c r="O450" s="218">
        <f t="shared" si="12"/>
        <v>0</v>
      </c>
      <c r="P450" s="218">
        <f t="shared" si="13"/>
        <v>0</v>
      </c>
      <c r="Q450" s="59"/>
      <c r="R450" s="51"/>
      <c r="S450" s="65"/>
      <c r="T450" s="64"/>
      <c r="U450" s="67"/>
      <c r="V450" s="74"/>
      <c r="W450" s="6">
        <f>'CLIENT ENROLLMENT DISCHARGE '!M449</f>
        <v>0</v>
      </c>
      <c r="X450" s="76">
        <f>'CLIENT ENROLLMENT DISCHARGE '!L449</f>
        <v>0</v>
      </c>
      <c r="Y450" s="180"/>
    </row>
    <row r="451" spans="1:25" ht="50.1" customHeight="1" x14ac:dyDescent="0.25">
      <c r="A451" s="5">
        <v>436</v>
      </c>
      <c r="B451" s="10">
        <f>'CLIENT ENROLLMENT DISCHARGE '!B450</f>
        <v>0</v>
      </c>
      <c r="C451" s="4">
        <f>'CLIENT ENROLLMENT DISCHARGE '!C450</f>
        <v>0</v>
      </c>
      <c r="D451" s="52"/>
      <c r="E451" s="53"/>
      <c r="F451" s="52"/>
      <c r="G451" s="53"/>
      <c r="H451" s="63"/>
      <c r="I451" s="116"/>
      <c r="J451" s="144"/>
      <c r="K451" s="71"/>
      <c r="L451" s="53"/>
      <c r="M451" s="2"/>
      <c r="N451" s="1"/>
      <c r="O451" s="218">
        <f t="shared" si="12"/>
        <v>0</v>
      </c>
      <c r="P451" s="218">
        <f t="shared" si="13"/>
        <v>0</v>
      </c>
      <c r="Q451" s="60"/>
      <c r="R451" s="52"/>
      <c r="S451" s="66"/>
      <c r="T451" s="65"/>
      <c r="U451" s="68"/>
      <c r="V451" s="75"/>
      <c r="W451" s="6">
        <f>'CLIENT ENROLLMENT DISCHARGE '!M450</f>
        <v>0</v>
      </c>
      <c r="X451" s="76">
        <f>'CLIENT ENROLLMENT DISCHARGE '!L450</f>
        <v>0</v>
      </c>
      <c r="Y451" s="180"/>
    </row>
    <row r="452" spans="1:25" ht="50.1" customHeight="1" x14ac:dyDescent="0.25">
      <c r="A452" s="5">
        <v>437</v>
      </c>
      <c r="B452" s="10">
        <f>'CLIENT ENROLLMENT DISCHARGE '!B451</f>
        <v>0</v>
      </c>
      <c r="C452" s="4">
        <f>'CLIENT ENROLLMENT DISCHARGE '!C451</f>
        <v>0</v>
      </c>
      <c r="D452" s="51"/>
      <c r="E452" s="52"/>
      <c r="F452" s="51"/>
      <c r="G452" s="52"/>
      <c r="H452" s="62"/>
      <c r="I452" s="115"/>
      <c r="J452" s="143"/>
      <c r="K452" s="70"/>
      <c r="L452" s="52"/>
      <c r="M452" s="8"/>
      <c r="N452" s="7"/>
      <c r="O452" s="218">
        <f t="shared" si="12"/>
        <v>0</v>
      </c>
      <c r="P452" s="218">
        <f t="shared" si="13"/>
        <v>0</v>
      </c>
      <c r="Q452" s="59"/>
      <c r="R452" s="51"/>
      <c r="S452" s="65"/>
      <c r="T452" s="64"/>
      <c r="U452" s="67"/>
      <c r="V452" s="74"/>
      <c r="W452" s="6">
        <f>'CLIENT ENROLLMENT DISCHARGE '!M451</f>
        <v>0</v>
      </c>
      <c r="X452" s="76">
        <f>'CLIENT ENROLLMENT DISCHARGE '!L451</f>
        <v>0</v>
      </c>
      <c r="Y452" s="180"/>
    </row>
    <row r="453" spans="1:25" ht="50.1" customHeight="1" x14ac:dyDescent="0.25">
      <c r="A453" s="5">
        <v>438</v>
      </c>
      <c r="B453" s="10">
        <f>'CLIENT ENROLLMENT DISCHARGE '!B452</f>
        <v>0</v>
      </c>
      <c r="C453" s="4">
        <f>'CLIENT ENROLLMENT DISCHARGE '!C452</f>
        <v>0</v>
      </c>
      <c r="D453" s="52"/>
      <c r="E453" s="53"/>
      <c r="F453" s="52"/>
      <c r="G453" s="53"/>
      <c r="H453" s="63"/>
      <c r="I453" s="116"/>
      <c r="J453" s="144"/>
      <c r="K453" s="71"/>
      <c r="L453" s="53"/>
      <c r="M453" s="2"/>
      <c r="N453" s="1"/>
      <c r="O453" s="218">
        <f t="shared" si="12"/>
        <v>0</v>
      </c>
      <c r="P453" s="218">
        <f t="shared" si="13"/>
        <v>0</v>
      </c>
      <c r="Q453" s="60"/>
      <c r="R453" s="52"/>
      <c r="S453" s="66"/>
      <c r="T453" s="65"/>
      <c r="U453" s="68"/>
      <c r="V453" s="59"/>
      <c r="W453" s="6">
        <f>'CLIENT ENROLLMENT DISCHARGE '!M452</f>
        <v>0</v>
      </c>
      <c r="X453" s="76">
        <f>'CLIENT ENROLLMENT DISCHARGE '!L452</f>
        <v>0</v>
      </c>
      <c r="Y453" s="180"/>
    </row>
    <row r="454" spans="1:25" ht="50.1" customHeight="1" x14ac:dyDescent="0.25">
      <c r="A454" s="5">
        <v>439</v>
      </c>
      <c r="B454" s="10">
        <f>'CLIENT ENROLLMENT DISCHARGE '!B453</f>
        <v>0</v>
      </c>
      <c r="C454" s="4">
        <f>'CLIENT ENROLLMENT DISCHARGE '!C453</f>
        <v>0</v>
      </c>
      <c r="D454" s="51"/>
      <c r="E454" s="52"/>
      <c r="F454" s="51"/>
      <c r="G454" s="52"/>
      <c r="H454" s="62"/>
      <c r="I454" s="115"/>
      <c r="J454" s="143"/>
      <c r="K454" s="70"/>
      <c r="L454" s="52"/>
      <c r="M454" s="8"/>
      <c r="N454" s="7"/>
      <c r="O454" s="218">
        <f t="shared" si="12"/>
        <v>0</v>
      </c>
      <c r="P454" s="218">
        <f t="shared" si="13"/>
        <v>0</v>
      </c>
      <c r="Q454" s="59"/>
      <c r="R454" s="51"/>
      <c r="S454" s="65"/>
      <c r="T454" s="64"/>
      <c r="U454" s="67"/>
      <c r="V454" s="74"/>
      <c r="W454" s="6">
        <f>'CLIENT ENROLLMENT DISCHARGE '!M453</f>
        <v>0</v>
      </c>
      <c r="X454" s="76">
        <f>'CLIENT ENROLLMENT DISCHARGE '!L453</f>
        <v>0</v>
      </c>
      <c r="Y454" s="180"/>
    </row>
    <row r="455" spans="1:25" ht="50.1" customHeight="1" x14ac:dyDescent="0.25">
      <c r="A455" s="5">
        <v>440</v>
      </c>
      <c r="B455" s="10">
        <f>'CLIENT ENROLLMENT DISCHARGE '!B454</f>
        <v>0</v>
      </c>
      <c r="C455" s="4">
        <f>'CLIENT ENROLLMENT DISCHARGE '!C454</f>
        <v>0</v>
      </c>
      <c r="D455" s="52"/>
      <c r="E455" s="53"/>
      <c r="F455" s="52"/>
      <c r="G455" s="53"/>
      <c r="H455" s="63"/>
      <c r="I455" s="116"/>
      <c r="J455" s="144"/>
      <c r="K455" s="71"/>
      <c r="L455" s="53"/>
      <c r="M455" s="2"/>
      <c r="N455" s="1"/>
      <c r="O455" s="218">
        <f t="shared" si="12"/>
        <v>0</v>
      </c>
      <c r="P455" s="218">
        <f t="shared" si="13"/>
        <v>0</v>
      </c>
      <c r="Q455" s="60"/>
      <c r="R455" s="52"/>
      <c r="S455" s="66"/>
      <c r="T455" s="65"/>
      <c r="U455" s="68"/>
      <c r="V455" s="59"/>
      <c r="W455" s="6">
        <f>'CLIENT ENROLLMENT DISCHARGE '!M454</f>
        <v>0</v>
      </c>
      <c r="X455" s="76">
        <f>'CLIENT ENROLLMENT DISCHARGE '!L454</f>
        <v>0</v>
      </c>
      <c r="Y455" s="180"/>
    </row>
    <row r="456" spans="1:25" ht="50.1" customHeight="1" x14ac:dyDescent="0.25">
      <c r="A456" s="5">
        <v>441</v>
      </c>
      <c r="B456" s="10">
        <f>'CLIENT ENROLLMENT DISCHARGE '!B455</f>
        <v>0</v>
      </c>
      <c r="C456" s="4">
        <f>'CLIENT ENROLLMENT DISCHARGE '!C455</f>
        <v>0</v>
      </c>
      <c r="D456" s="51"/>
      <c r="E456" s="52"/>
      <c r="F456" s="51"/>
      <c r="G456" s="52"/>
      <c r="H456" s="62"/>
      <c r="I456" s="115"/>
      <c r="J456" s="143"/>
      <c r="K456" s="70"/>
      <c r="L456" s="52"/>
      <c r="M456" s="8"/>
      <c r="N456" s="7"/>
      <c r="O456" s="218">
        <f t="shared" si="12"/>
        <v>0</v>
      </c>
      <c r="P456" s="218">
        <f t="shared" si="13"/>
        <v>0</v>
      </c>
      <c r="Q456" s="59"/>
      <c r="R456" s="51"/>
      <c r="S456" s="65"/>
      <c r="T456" s="64"/>
      <c r="U456" s="67"/>
      <c r="V456" s="74"/>
      <c r="W456" s="6">
        <f>'CLIENT ENROLLMENT DISCHARGE '!M455</f>
        <v>0</v>
      </c>
      <c r="X456" s="76">
        <f>'CLIENT ENROLLMENT DISCHARGE '!L455</f>
        <v>0</v>
      </c>
      <c r="Y456" s="180"/>
    </row>
    <row r="457" spans="1:25" ht="50.1" customHeight="1" x14ac:dyDescent="0.25">
      <c r="A457" s="5">
        <v>442</v>
      </c>
      <c r="B457" s="10">
        <f>'CLIENT ENROLLMENT DISCHARGE '!B456</f>
        <v>0</v>
      </c>
      <c r="C457" s="4">
        <f>'CLIENT ENROLLMENT DISCHARGE '!C456</f>
        <v>0</v>
      </c>
      <c r="D457" s="52"/>
      <c r="E457" s="53"/>
      <c r="F457" s="52"/>
      <c r="G457" s="53"/>
      <c r="H457" s="63"/>
      <c r="I457" s="116"/>
      <c r="J457" s="144"/>
      <c r="K457" s="71"/>
      <c r="L457" s="53"/>
      <c r="M457" s="2"/>
      <c r="N457" s="1"/>
      <c r="O457" s="218">
        <f t="shared" si="12"/>
        <v>0</v>
      </c>
      <c r="P457" s="218">
        <f t="shared" si="13"/>
        <v>0</v>
      </c>
      <c r="Q457" s="60"/>
      <c r="R457" s="52"/>
      <c r="S457" s="66"/>
      <c r="T457" s="65"/>
      <c r="U457" s="68"/>
      <c r="V457" s="59"/>
      <c r="W457" s="6">
        <f>'CLIENT ENROLLMENT DISCHARGE '!M456</f>
        <v>0</v>
      </c>
      <c r="X457" s="76">
        <f>'CLIENT ENROLLMENT DISCHARGE '!L456</f>
        <v>0</v>
      </c>
      <c r="Y457" s="180"/>
    </row>
    <row r="458" spans="1:25" ht="50.1" customHeight="1" x14ac:dyDescent="0.25">
      <c r="A458" s="5">
        <v>443</v>
      </c>
      <c r="B458" s="10">
        <f>'CLIENT ENROLLMENT DISCHARGE '!B457</f>
        <v>0</v>
      </c>
      <c r="C458" s="4">
        <f>'CLIENT ENROLLMENT DISCHARGE '!C457</f>
        <v>0</v>
      </c>
      <c r="D458" s="51"/>
      <c r="E458" s="52"/>
      <c r="F458" s="51"/>
      <c r="G458" s="52"/>
      <c r="H458" s="62"/>
      <c r="I458" s="115"/>
      <c r="J458" s="143"/>
      <c r="K458" s="70"/>
      <c r="L458" s="52"/>
      <c r="M458" s="8"/>
      <c r="N458" s="7"/>
      <c r="O458" s="218">
        <f t="shared" si="12"/>
        <v>0</v>
      </c>
      <c r="P458" s="218">
        <f t="shared" si="13"/>
        <v>0</v>
      </c>
      <c r="Q458" s="59"/>
      <c r="R458" s="51"/>
      <c r="S458" s="65"/>
      <c r="T458" s="64"/>
      <c r="U458" s="67"/>
      <c r="V458" s="74"/>
      <c r="W458" s="6">
        <f>'CLIENT ENROLLMENT DISCHARGE '!M457</f>
        <v>0</v>
      </c>
      <c r="X458" s="76">
        <f>'CLIENT ENROLLMENT DISCHARGE '!L457</f>
        <v>0</v>
      </c>
      <c r="Y458" s="180"/>
    </row>
    <row r="459" spans="1:25" ht="50.1" customHeight="1" x14ac:dyDescent="0.25">
      <c r="A459" s="5">
        <v>444</v>
      </c>
      <c r="B459" s="10">
        <f>'CLIENT ENROLLMENT DISCHARGE '!B458</f>
        <v>0</v>
      </c>
      <c r="C459" s="4">
        <f>'CLIENT ENROLLMENT DISCHARGE '!C458</f>
        <v>0</v>
      </c>
      <c r="D459" s="52"/>
      <c r="E459" s="53"/>
      <c r="F459" s="52"/>
      <c r="G459" s="53"/>
      <c r="H459" s="63"/>
      <c r="I459" s="116"/>
      <c r="J459" s="144"/>
      <c r="K459" s="71"/>
      <c r="L459" s="53"/>
      <c r="M459" s="2"/>
      <c r="N459" s="1"/>
      <c r="O459" s="218">
        <f t="shared" si="12"/>
        <v>0</v>
      </c>
      <c r="P459" s="218">
        <f t="shared" si="13"/>
        <v>0</v>
      </c>
      <c r="Q459" s="60"/>
      <c r="R459" s="52"/>
      <c r="S459" s="66"/>
      <c r="T459" s="65"/>
      <c r="U459" s="68"/>
      <c r="V459" s="59"/>
      <c r="W459" s="6">
        <f>'CLIENT ENROLLMENT DISCHARGE '!M458</f>
        <v>0</v>
      </c>
      <c r="X459" s="76">
        <f>'CLIENT ENROLLMENT DISCHARGE '!L458</f>
        <v>0</v>
      </c>
      <c r="Y459" s="180"/>
    </row>
    <row r="460" spans="1:25" ht="50.1" customHeight="1" x14ac:dyDescent="0.25">
      <c r="A460" s="5">
        <v>445</v>
      </c>
      <c r="B460" s="10">
        <f>'CLIENT ENROLLMENT DISCHARGE '!B459</f>
        <v>0</v>
      </c>
      <c r="C460" s="4">
        <f>'CLIENT ENROLLMENT DISCHARGE '!C459</f>
        <v>0</v>
      </c>
      <c r="D460" s="51"/>
      <c r="E460" s="52"/>
      <c r="F460" s="51"/>
      <c r="G460" s="52"/>
      <c r="H460" s="62"/>
      <c r="I460" s="115"/>
      <c r="J460" s="143"/>
      <c r="K460" s="70"/>
      <c r="L460" s="52"/>
      <c r="M460" s="8"/>
      <c r="N460" s="7"/>
      <c r="O460" s="218">
        <f t="shared" si="12"/>
        <v>0</v>
      </c>
      <c r="P460" s="218">
        <f t="shared" si="13"/>
        <v>0</v>
      </c>
      <c r="Q460" s="59"/>
      <c r="R460" s="51"/>
      <c r="S460" s="65"/>
      <c r="T460" s="64"/>
      <c r="U460" s="67"/>
      <c r="V460" s="74"/>
      <c r="W460" s="6">
        <f>'CLIENT ENROLLMENT DISCHARGE '!M459</f>
        <v>0</v>
      </c>
      <c r="X460" s="76">
        <f>'CLIENT ENROLLMENT DISCHARGE '!L459</f>
        <v>0</v>
      </c>
      <c r="Y460" s="180"/>
    </row>
    <row r="461" spans="1:25" ht="50.1" customHeight="1" x14ac:dyDescent="0.25">
      <c r="A461" s="5">
        <v>446</v>
      </c>
      <c r="B461" s="10">
        <f>'CLIENT ENROLLMENT DISCHARGE '!B460</f>
        <v>0</v>
      </c>
      <c r="C461" s="4">
        <f>'CLIENT ENROLLMENT DISCHARGE '!C460</f>
        <v>0</v>
      </c>
      <c r="D461" s="52"/>
      <c r="E461" s="53"/>
      <c r="F461" s="52"/>
      <c r="G461" s="53"/>
      <c r="H461" s="63"/>
      <c r="I461" s="116"/>
      <c r="J461" s="3"/>
      <c r="K461" s="71"/>
      <c r="L461" s="53"/>
      <c r="M461" s="2"/>
      <c r="N461" s="1"/>
      <c r="O461" s="218">
        <f t="shared" si="12"/>
        <v>0</v>
      </c>
      <c r="P461" s="218">
        <f t="shared" si="13"/>
        <v>0</v>
      </c>
      <c r="Q461" s="60"/>
      <c r="R461" s="52"/>
      <c r="S461" s="66"/>
      <c r="T461" s="65"/>
      <c r="U461" s="68"/>
      <c r="V461" s="75"/>
      <c r="W461" s="6">
        <f>'CLIENT ENROLLMENT DISCHARGE '!M460</f>
        <v>0</v>
      </c>
      <c r="X461" s="76">
        <f>'CLIENT ENROLLMENT DISCHARGE '!L460</f>
        <v>0</v>
      </c>
      <c r="Y461" s="180"/>
    </row>
    <row r="462" spans="1:25" ht="50.1" customHeight="1" x14ac:dyDescent="0.25">
      <c r="A462" s="5">
        <v>447</v>
      </c>
      <c r="B462" s="10">
        <f>'CLIENT ENROLLMENT DISCHARGE '!B461</f>
        <v>0</v>
      </c>
      <c r="C462" s="4">
        <f>'CLIENT ENROLLMENT DISCHARGE '!C461</f>
        <v>0</v>
      </c>
      <c r="D462" s="51"/>
      <c r="E462" s="52"/>
      <c r="F462" s="51"/>
      <c r="G462" s="52"/>
      <c r="H462" s="62"/>
      <c r="I462" s="115"/>
      <c r="J462" s="143"/>
      <c r="K462" s="70"/>
      <c r="L462" s="52"/>
      <c r="M462" s="8"/>
      <c r="N462" s="7"/>
      <c r="O462" s="218">
        <f t="shared" si="12"/>
        <v>0</v>
      </c>
      <c r="P462" s="218">
        <f t="shared" si="13"/>
        <v>0</v>
      </c>
      <c r="Q462" s="59"/>
      <c r="R462" s="51"/>
      <c r="S462" s="65"/>
      <c r="T462" s="64"/>
      <c r="U462" s="67"/>
      <c r="V462" s="74"/>
      <c r="W462" s="6">
        <f>'CLIENT ENROLLMENT DISCHARGE '!M461</f>
        <v>0</v>
      </c>
      <c r="X462" s="76">
        <f>'CLIENT ENROLLMENT DISCHARGE '!L461</f>
        <v>0</v>
      </c>
      <c r="Y462" s="180"/>
    </row>
    <row r="463" spans="1:25" ht="50.1" customHeight="1" x14ac:dyDescent="0.25">
      <c r="A463" s="5">
        <v>448</v>
      </c>
      <c r="B463" s="10">
        <f>'CLIENT ENROLLMENT DISCHARGE '!B462</f>
        <v>0</v>
      </c>
      <c r="C463" s="4">
        <f>'CLIENT ENROLLMENT DISCHARGE '!C462</f>
        <v>0</v>
      </c>
      <c r="D463" s="52"/>
      <c r="E463" s="53"/>
      <c r="F463" s="52"/>
      <c r="G463" s="53"/>
      <c r="H463" s="63"/>
      <c r="I463" s="116"/>
      <c r="J463" s="144"/>
      <c r="K463" s="71"/>
      <c r="L463" s="53"/>
      <c r="M463" s="2"/>
      <c r="N463" s="1"/>
      <c r="O463" s="218">
        <f t="shared" si="12"/>
        <v>0</v>
      </c>
      <c r="P463" s="218">
        <f t="shared" si="13"/>
        <v>0</v>
      </c>
      <c r="Q463" s="60"/>
      <c r="R463" s="52"/>
      <c r="S463" s="66"/>
      <c r="T463" s="65"/>
      <c r="U463" s="68"/>
      <c r="V463" s="59"/>
      <c r="W463" s="6">
        <f>'CLIENT ENROLLMENT DISCHARGE '!M462</f>
        <v>0</v>
      </c>
      <c r="X463" s="76">
        <f>'CLIENT ENROLLMENT DISCHARGE '!L462</f>
        <v>0</v>
      </c>
      <c r="Y463" s="180"/>
    </row>
    <row r="464" spans="1:25" ht="50.1" customHeight="1" x14ac:dyDescent="0.25">
      <c r="A464" s="5">
        <v>449</v>
      </c>
      <c r="B464" s="10">
        <f>'CLIENT ENROLLMENT DISCHARGE '!B463</f>
        <v>0</v>
      </c>
      <c r="C464" s="4">
        <f>'CLIENT ENROLLMENT DISCHARGE '!C463</f>
        <v>0</v>
      </c>
      <c r="D464" s="51"/>
      <c r="E464" s="52"/>
      <c r="F464" s="51"/>
      <c r="G464" s="52"/>
      <c r="H464" s="62"/>
      <c r="I464" s="115"/>
      <c r="J464" s="143"/>
      <c r="K464" s="70"/>
      <c r="L464" s="52"/>
      <c r="M464" s="8"/>
      <c r="N464" s="7"/>
      <c r="O464" s="218">
        <f t="shared" si="12"/>
        <v>0</v>
      </c>
      <c r="P464" s="218">
        <f t="shared" si="13"/>
        <v>0</v>
      </c>
      <c r="Q464" s="59"/>
      <c r="R464" s="51"/>
      <c r="S464" s="65"/>
      <c r="T464" s="64"/>
      <c r="U464" s="67"/>
      <c r="V464" s="74"/>
      <c r="W464" s="6">
        <f>'CLIENT ENROLLMENT DISCHARGE '!M463</f>
        <v>0</v>
      </c>
      <c r="X464" s="76">
        <f>'CLIENT ENROLLMENT DISCHARGE '!L463</f>
        <v>0</v>
      </c>
      <c r="Y464" s="180"/>
    </row>
    <row r="465" spans="1:25" ht="50.1" customHeight="1" x14ac:dyDescent="0.25">
      <c r="A465" s="5">
        <v>450</v>
      </c>
      <c r="B465" s="10">
        <f>'CLIENT ENROLLMENT DISCHARGE '!B464</f>
        <v>0</v>
      </c>
      <c r="C465" s="4">
        <f>'CLIENT ENROLLMENT DISCHARGE '!C464</f>
        <v>0</v>
      </c>
      <c r="D465" s="52"/>
      <c r="E465" s="53"/>
      <c r="F465" s="52"/>
      <c r="G465" s="53"/>
      <c r="H465" s="63"/>
      <c r="I465" s="116"/>
      <c r="J465" s="144"/>
      <c r="K465" s="71"/>
      <c r="L465" s="53"/>
      <c r="M465" s="2"/>
      <c r="N465" s="1"/>
      <c r="O465" s="218">
        <f t="shared" ref="O465:O515" si="14">K465*N465</f>
        <v>0</v>
      </c>
      <c r="P465" s="218">
        <f t="shared" ref="P465:P515" si="15">O465</f>
        <v>0</v>
      </c>
      <c r="Q465" s="60"/>
      <c r="R465" s="52"/>
      <c r="S465" s="66"/>
      <c r="T465" s="65"/>
      <c r="U465" s="68"/>
      <c r="V465" s="59"/>
      <c r="W465" s="6">
        <f>'CLIENT ENROLLMENT DISCHARGE '!M464</f>
        <v>0</v>
      </c>
      <c r="X465" s="76">
        <f>'CLIENT ENROLLMENT DISCHARGE '!L464</f>
        <v>0</v>
      </c>
      <c r="Y465" s="180"/>
    </row>
    <row r="466" spans="1:25" ht="50.1" customHeight="1" x14ac:dyDescent="0.25">
      <c r="A466" s="5">
        <v>451</v>
      </c>
      <c r="B466" s="10">
        <f>'CLIENT ENROLLMENT DISCHARGE '!B465</f>
        <v>0</v>
      </c>
      <c r="C466" s="4">
        <f>'CLIENT ENROLLMENT DISCHARGE '!C465</f>
        <v>0</v>
      </c>
      <c r="D466" s="51"/>
      <c r="E466" s="52"/>
      <c r="F466" s="51"/>
      <c r="G466" s="52"/>
      <c r="H466" s="62"/>
      <c r="I466" s="115"/>
      <c r="J466" s="143"/>
      <c r="K466" s="70"/>
      <c r="L466" s="52"/>
      <c r="M466" s="8"/>
      <c r="N466" s="7"/>
      <c r="O466" s="218">
        <f t="shared" si="14"/>
        <v>0</v>
      </c>
      <c r="P466" s="218">
        <f t="shared" si="15"/>
        <v>0</v>
      </c>
      <c r="Q466" s="59"/>
      <c r="R466" s="51"/>
      <c r="S466" s="65"/>
      <c r="T466" s="64"/>
      <c r="U466" s="67"/>
      <c r="V466" s="74"/>
      <c r="W466" s="6">
        <f>'CLIENT ENROLLMENT DISCHARGE '!M465</f>
        <v>0</v>
      </c>
      <c r="X466" s="76">
        <f>'CLIENT ENROLLMENT DISCHARGE '!L465</f>
        <v>0</v>
      </c>
      <c r="Y466" s="180"/>
    </row>
    <row r="467" spans="1:25" ht="50.1" customHeight="1" x14ac:dyDescent="0.25">
      <c r="A467" s="5">
        <v>452</v>
      </c>
      <c r="B467" s="10">
        <f>'CLIENT ENROLLMENT DISCHARGE '!B466</f>
        <v>0</v>
      </c>
      <c r="C467" s="4">
        <f>'CLIENT ENROLLMENT DISCHARGE '!C466</f>
        <v>0</v>
      </c>
      <c r="D467" s="52"/>
      <c r="E467" s="53"/>
      <c r="F467" s="52"/>
      <c r="G467" s="53"/>
      <c r="H467" s="63"/>
      <c r="I467" s="116"/>
      <c r="J467" s="144"/>
      <c r="K467" s="71"/>
      <c r="L467" s="53"/>
      <c r="M467" s="2"/>
      <c r="N467" s="1"/>
      <c r="O467" s="218">
        <f t="shared" si="14"/>
        <v>0</v>
      </c>
      <c r="P467" s="218">
        <f t="shared" si="15"/>
        <v>0</v>
      </c>
      <c r="Q467" s="60"/>
      <c r="R467" s="52"/>
      <c r="S467" s="66"/>
      <c r="T467" s="65"/>
      <c r="U467" s="68"/>
      <c r="V467" s="59"/>
      <c r="W467" s="6">
        <f>'CLIENT ENROLLMENT DISCHARGE '!M466</f>
        <v>0</v>
      </c>
      <c r="X467" s="76">
        <f>'CLIENT ENROLLMENT DISCHARGE '!L466</f>
        <v>0</v>
      </c>
      <c r="Y467" s="180"/>
    </row>
    <row r="468" spans="1:25" ht="50.1" customHeight="1" x14ac:dyDescent="0.25">
      <c r="A468" s="5">
        <v>453</v>
      </c>
      <c r="B468" s="10">
        <f>'CLIENT ENROLLMENT DISCHARGE '!B467</f>
        <v>0</v>
      </c>
      <c r="C468" s="4">
        <f>'CLIENT ENROLLMENT DISCHARGE '!C467</f>
        <v>0</v>
      </c>
      <c r="D468" s="51"/>
      <c r="E468" s="52"/>
      <c r="F468" s="51"/>
      <c r="G468" s="52"/>
      <c r="H468" s="62"/>
      <c r="I468" s="115"/>
      <c r="J468" s="143"/>
      <c r="K468" s="70"/>
      <c r="L468" s="52"/>
      <c r="M468" s="8"/>
      <c r="N468" s="7"/>
      <c r="O468" s="218">
        <f t="shared" si="14"/>
        <v>0</v>
      </c>
      <c r="P468" s="218">
        <f t="shared" si="15"/>
        <v>0</v>
      </c>
      <c r="Q468" s="59"/>
      <c r="R468" s="51"/>
      <c r="S468" s="65"/>
      <c r="T468" s="64"/>
      <c r="U468" s="67"/>
      <c r="V468" s="74"/>
      <c r="W468" s="6">
        <f>'CLIENT ENROLLMENT DISCHARGE '!M467</f>
        <v>0</v>
      </c>
      <c r="X468" s="76">
        <f>'CLIENT ENROLLMENT DISCHARGE '!L467</f>
        <v>0</v>
      </c>
      <c r="Y468" s="180"/>
    </row>
    <row r="469" spans="1:25" ht="50.1" customHeight="1" x14ac:dyDescent="0.25">
      <c r="A469" s="5">
        <v>454</v>
      </c>
      <c r="B469" s="10">
        <f>'CLIENT ENROLLMENT DISCHARGE '!B468</f>
        <v>0</v>
      </c>
      <c r="C469" s="4">
        <f>'CLIENT ENROLLMENT DISCHARGE '!C468</f>
        <v>0</v>
      </c>
      <c r="D469" s="52"/>
      <c r="E469" s="53"/>
      <c r="F469" s="52"/>
      <c r="G469" s="53"/>
      <c r="H469" s="63"/>
      <c r="I469" s="116"/>
      <c r="J469" s="144"/>
      <c r="K469" s="71"/>
      <c r="L469" s="53"/>
      <c r="M469" s="2"/>
      <c r="N469" s="1"/>
      <c r="O469" s="218">
        <f t="shared" si="14"/>
        <v>0</v>
      </c>
      <c r="P469" s="218">
        <f t="shared" si="15"/>
        <v>0</v>
      </c>
      <c r="Q469" s="60"/>
      <c r="R469" s="52"/>
      <c r="S469" s="66"/>
      <c r="T469" s="65"/>
      <c r="U469" s="68"/>
      <c r="V469" s="59"/>
      <c r="W469" s="6">
        <f>'CLIENT ENROLLMENT DISCHARGE '!M468</f>
        <v>0</v>
      </c>
      <c r="X469" s="76">
        <f>'CLIENT ENROLLMENT DISCHARGE '!L468</f>
        <v>0</v>
      </c>
      <c r="Y469" s="180"/>
    </row>
    <row r="470" spans="1:25" ht="50.1" customHeight="1" x14ac:dyDescent="0.25">
      <c r="A470" s="5">
        <v>455</v>
      </c>
      <c r="B470" s="10">
        <f>'CLIENT ENROLLMENT DISCHARGE '!B469</f>
        <v>0</v>
      </c>
      <c r="C470" s="4">
        <f>'CLIENT ENROLLMENT DISCHARGE '!C469</f>
        <v>0</v>
      </c>
      <c r="D470" s="51"/>
      <c r="E470" s="52"/>
      <c r="F470" s="51"/>
      <c r="G470" s="52"/>
      <c r="H470" s="62"/>
      <c r="I470" s="115"/>
      <c r="J470" s="143"/>
      <c r="K470" s="70"/>
      <c r="L470" s="52"/>
      <c r="M470" s="8"/>
      <c r="N470" s="7"/>
      <c r="O470" s="218">
        <f t="shared" si="14"/>
        <v>0</v>
      </c>
      <c r="P470" s="218">
        <f t="shared" si="15"/>
        <v>0</v>
      </c>
      <c r="Q470" s="59"/>
      <c r="R470" s="51"/>
      <c r="S470" s="65"/>
      <c r="T470" s="64"/>
      <c r="U470" s="67"/>
      <c r="V470" s="74"/>
      <c r="W470" s="6">
        <f>'CLIENT ENROLLMENT DISCHARGE '!M469</f>
        <v>0</v>
      </c>
      <c r="X470" s="76">
        <f>'CLIENT ENROLLMENT DISCHARGE '!L469</f>
        <v>0</v>
      </c>
      <c r="Y470" s="180"/>
    </row>
    <row r="471" spans="1:25" ht="50.1" customHeight="1" x14ac:dyDescent="0.25">
      <c r="A471" s="5">
        <v>456</v>
      </c>
      <c r="B471" s="10">
        <f>'CLIENT ENROLLMENT DISCHARGE '!B470</f>
        <v>0</v>
      </c>
      <c r="C471" s="4">
        <f>'CLIENT ENROLLMENT DISCHARGE '!C470</f>
        <v>0</v>
      </c>
      <c r="D471" s="52"/>
      <c r="E471" s="53"/>
      <c r="F471" s="52"/>
      <c r="G471" s="53"/>
      <c r="H471" s="63"/>
      <c r="I471" s="116"/>
      <c r="J471" s="144"/>
      <c r="K471" s="71"/>
      <c r="L471" s="53"/>
      <c r="M471" s="2"/>
      <c r="N471" s="1"/>
      <c r="O471" s="218">
        <f t="shared" si="14"/>
        <v>0</v>
      </c>
      <c r="P471" s="218">
        <f t="shared" si="15"/>
        <v>0</v>
      </c>
      <c r="Q471" s="60"/>
      <c r="R471" s="52"/>
      <c r="S471" s="66"/>
      <c r="T471" s="65"/>
      <c r="U471" s="68"/>
      <c r="V471" s="75"/>
      <c r="W471" s="6">
        <f>'CLIENT ENROLLMENT DISCHARGE '!M470</f>
        <v>0</v>
      </c>
      <c r="X471" s="76">
        <f>'CLIENT ENROLLMENT DISCHARGE '!L470</f>
        <v>0</v>
      </c>
      <c r="Y471" s="180"/>
    </row>
    <row r="472" spans="1:25" ht="50.1" customHeight="1" x14ac:dyDescent="0.25">
      <c r="A472" s="5">
        <v>457</v>
      </c>
      <c r="B472" s="10">
        <f>'CLIENT ENROLLMENT DISCHARGE '!B471</f>
        <v>0</v>
      </c>
      <c r="C472" s="4">
        <f>'CLIENT ENROLLMENT DISCHARGE '!C471</f>
        <v>0</v>
      </c>
      <c r="D472" s="51"/>
      <c r="E472" s="52"/>
      <c r="F472" s="51"/>
      <c r="G472" s="52"/>
      <c r="H472" s="62"/>
      <c r="I472" s="115"/>
      <c r="J472" s="143"/>
      <c r="K472" s="70"/>
      <c r="L472" s="52"/>
      <c r="M472" s="8"/>
      <c r="N472" s="7"/>
      <c r="O472" s="218">
        <f t="shared" si="14"/>
        <v>0</v>
      </c>
      <c r="P472" s="218">
        <f t="shared" si="15"/>
        <v>0</v>
      </c>
      <c r="Q472" s="59"/>
      <c r="R472" s="51"/>
      <c r="S472" s="65"/>
      <c r="T472" s="64"/>
      <c r="U472" s="67"/>
      <c r="V472" s="74"/>
      <c r="W472" s="6">
        <f>'CLIENT ENROLLMENT DISCHARGE '!M471</f>
        <v>0</v>
      </c>
      <c r="X472" s="76">
        <f>'CLIENT ENROLLMENT DISCHARGE '!L471</f>
        <v>0</v>
      </c>
      <c r="Y472" s="180"/>
    </row>
    <row r="473" spans="1:25" ht="50.1" customHeight="1" x14ac:dyDescent="0.25">
      <c r="A473" s="5">
        <v>458</v>
      </c>
      <c r="B473" s="10">
        <f>'CLIENT ENROLLMENT DISCHARGE '!B472</f>
        <v>0</v>
      </c>
      <c r="C473" s="4">
        <f>'CLIENT ENROLLMENT DISCHARGE '!C472</f>
        <v>0</v>
      </c>
      <c r="D473" s="52"/>
      <c r="E473" s="53"/>
      <c r="F473" s="52"/>
      <c r="G473" s="53"/>
      <c r="H473" s="63"/>
      <c r="I473" s="116"/>
      <c r="J473" s="144"/>
      <c r="K473" s="71"/>
      <c r="L473" s="53"/>
      <c r="M473" s="2"/>
      <c r="N473" s="1"/>
      <c r="O473" s="218">
        <f t="shared" si="14"/>
        <v>0</v>
      </c>
      <c r="P473" s="218">
        <f t="shared" si="15"/>
        <v>0</v>
      </c>
      <c r="Q473" s="60"/>
      <c r="R473" s="52"/>
      <c r="S473" s="66"/>
      <c r="T473" s="65"/>
      <c r="U473" s="68"/>
      <c r="V473" s="59"/>
      <c r="W473" s="6">
        <f>'CLIENT ENROLLMENT DISCHARGE '!M472</f>
        <v>0</v>
      </c>
      <c r="X473" s="76">
        <f>'CLIENT ENROLLMENT DISCHARGE '!L472</f>
        <v>0</v>
      </c>
      <c r="Y473" s="180"/>
    </row>
    <row r="474" spans="1:25" ht="50.1" customHeight="1" x14ac:dyDescent="0.25">
      <c r="A474" s="5">
        <v>459</v>
      </c>
      <c r="B474" s="10">
        <f>'CLIENT ENROLLMENT DISCHARGE '!B473</f>
        <v>0</v>
      </c>
      <c r="C474" s="4">
        <f>'CLIENT ENROLLMENT DISCHARGE '!C473</f>
        <v>0</v>
      </c>
      <c r="D474" s="51"/>
      <c r="E474" s="52"/>
      <c r="F474" s="51"/>
      <c r="G474" s="52"/>
      <c r="H474" s="62"/>
      <c r="I474" s="115"/>
      <c r="J474" s="143"/>
      <c r="K474" s="70"/>
      <c r="L474" s="52"/>
      <c r="M474" s="8"/>
      <c r="N474" s="7"/>
      <c r="O474" s="218">
        <f t="shared" si="14"/>
        <v>0</v>
      </c>
      <c r="P474" s="218">
        <f t="shared" si="15"/>
        <v>0</v>
      </c>
      <c r="Q474" s="59"/>
      <c r="R474" s="51"/>
      <c r="S474" s="65"/>
      <c r="T474" s="64"/>
      <c r="U474" s="67"/>
      <c r="V474" s="74"/>
      <c r="W474" s="6">
        <f>'CLIENT ENROLLMENT DISCHARGE '!M473</f>
        <v>0</v>
      </c>
      <c r="X474" s="76">
        <f>'CLIENT ENROLLMENT DISCHARGE '!L473</f>
        <v>0</v>
      </c>
      <c r="Y474" s="180"/>
    </row>
    <row r="475" spans="1:25" ht="50.1" customHeight="1" x14ac:dyDescent="0.25">
      <c r="A475" s="5">
        <v>460</v>
      </c>
      <c r="B475" s="10">
        <f>'CLIENT ENROLLMENT DISCHARGE '!B474</f>
        <v>0</v>
      </c>
      <c r="C475" s="4">
        <f>'CLIENT ENROLLMENT DISCHARGE '!C474</f>
        <v>0</v>
      </c>
      <c r="D475" s="52"/>
      <c r="E475" s="53"/>
      <c r="F475" s="52"/>
      <c r="G475" s="53"/>
      <c r="H475" s="63"/>
      <c r="I475" s="116"/>
      <c r="J475" s="144"/>
      <c r="K475" s="71"/>
      <c r="L475" s="53"/>
      <c r="M475" s="2"/>
      <c r="N475" s="1"/>
      <c r="O475" s="218">
        <f t="shared" si="14"/>
        <v>0</v>
      </c>
      <c r="P475" s="218">
        <f t="shared" si="15"/>
        <v>0</v>
      </c>
      <c r="Q475" s="60"/>
      <c r="R475" s="52"/>
      <c r="S475" s="66"/>
      <c r="T475" s="65"/>
      <c r="U475" s="68"/>
      <c r="V475" s="59"/>
      <c r="W475" s="6">
        <f>'CLIENT ENROLLMENT DISCHARGE '!M474</f>
        <v>0</v>
      </c>
      <c r="X475" s="76">
        <f>'CLIENT ENROLLMENT DISCHARGE '!L474</f>
        <v>0</v>
      </c>
      <c r="Y475" s="180"/>
    </row>
    <row r="476" spans="1:25" ht="50.1" customHeight="1" x14ac:dyDescent="0.25">
      <c r="A476" s="5">
        <v>461</v>
      </c>
      <c r="B476" s="10">
        <f>'CLIENT ENROLLMENT DISCHARGE '!B475</f>
        <v>0</v>
      </c>
      <c r="C476" s="4">
        <f>'CLIENT ENROLLMENT DISCHARGE '!C475</f>
        <v>0</v>
      </c>
      <c r="D476" s="51"/>
      <c r="E476" s="52"/>
      <c r="F476" s="51"/>
      <c r="G476" s="52"/>
      <c r="H476" s="62"/>
      <c r="I476" s="115"/>
      <c r="J476" s="143"/>
      <c r="K476" s="70"/>
      <c r="L476" s="52"/>
      <c r="M476" s="8"/>
      <c r="N476" s="7"/>
      <c r="O476" s="218">
        <f t="shared" si="14"/>
        <v>0</v>
      </c>
      <c r="P476" s="218">
        <f t="shared" si="15"/>
        <v>0</v>
      </c>
      <c r="Q476" s="59"/>
      <c r="R476" s="51"/>
      <c r="S476" s="65"/>
      <c r="T476" s="64"/>
      <c r="U476" s="67"/>
      <c r="V476" s="74"/>
      <c r="W476" s="6">
        <f>'CLIENT ENROLLMENT DISCHARGE '!M475</f>
        <v>0</v>
      </c>
      <c r="X476" s="76">
        <f>'CLIENT ENROLLMENT DISCHARGE '!L475</f>
        <v>0</v>
      </c>
      <c r="Y476" s="180"/>
    </row>
    <row r="477" spans="1:25" ht="50.1" customHeight="1" x14ac:dyDescent="0.25">
      <c r="A477" s="5">
        <v>462</v>
      </c>
      <c r="B477" s="10">
        <f>'CLIENT ENROLLMENT DISCHARGE '!B476</f>
        <v>0</v>
      </c>
      <c r="C477" s="4">
        <f>'CLIENT ENROLLMENT DISCHARGE '!C476</f>
        <v>0</v>
      </c>
      <c r="D477" s="52"/>
      <c r="E477" s="53"/>
      <c r="F477" s="52"/>
      <c r="G477" s="53"/>
      <c r="H477" s="63"/>
      <c r="I477" s="116"/>
      <c r="J477" s="144"/>
      <c r="K477" s="71"/>
      <c r="L477" s="53"/>
      <c r="M477" s="2"/>
      <c r="N477" s="1"/>
      <c r="O477" s="218">
        <f t="shared" si="14"/>
        <v>0</v>
      </c>
      <c r="P477" s="218">
        <f t="shared" si="15"/>
        <v>0</v>
      </c>
      <c r="Q477" s="60"/>
      <c r="R477" s="52"/>
      <c r="S477" s="66"/>
      <c r="T477" s="65"/>
      <c r="U477" s="68"/>
      <c r="V477" s="59"/>
      <c r="W477" s="6">
        <f>'CLIENT ENROLLMENT DISCHARGE '!M476</f>
        <v>0</v>
      </c>
      <c r="X477" s="76">
        <f>'CLIENT ENROLLMENT DISCHARGE '!L476</f>
        <v>0</v>
      </c>
      <c r="Y477" s="180"/>
    </row>
    <row r="478" spans="1:25" ht="50.1" customHeight="1" x14ac:dyDescent="0.25">
      <c r="A478" s="5">
        <v>463</v>
      </c>
      <c r="B478" s="10">
        <f>'CLIENT ENROLLMENT DISCHARGE '!B477</f>
        <v>0</v>
      </c>
      <c r="C478" s="4">
        <f>'CLIENT ENROLLMENT DISCHARGE '!C477</f>
        <v>0</v>
      </c>
      <c r="D478" s="51"/>
      <c r="E478" s="52"/>
      <c r="F478" s="51"/>
      <c r="G478" s="52"/>
      <c r="H478" s="62"/>
      <c r="I478" s="115"/>
      <c r="J478" s="143"/>
      <c r="K478" s="70"/>
      <c r="L478" s="52"/>
      <c r="M478" s="8"/>
      <c r="N478" s="7"/>
      <c r="O478" s="218">
        <f t="shared" si="14"/>
        <v>0</v>
      </c>
      <c r="P478" s="218">
        <f t="shared" si="15"/>
        <v>0</v>
      </c>
      <c r="Q478" s="59"/>
      <c r="R478" s="51"/>
      <c r="S478" s="65"/>
      <c r="T478" s="64"/>
      <c r="U478" s="67"/>
      <c r="V478" s="74"/>
      <c r="W478" s="6">
        <f>'CLIENT ENROLLMENT DISCHARGE '!M477</f>
        <v>0</v>
      </c>
      <c r="X478" s="76">
        <f>'CLIENT ENROLLMENT DISCHARGE '!L477</f>
        <v>0</v>
      </c>
      <c r="Y478" s="180"/>
    </row>
    <row r="479" spans="1:25" ht="50.1" customHeight="1" x14ac:dyDescent="0.25">
      <c r="A479" s="5">
        <v>464</v>
      </c>
      <c r="B479" s="10">
        <f>'CLIENT ENROLLMENT DISCHARGE '!B478</f>
        <v>0</v>
      </c>
      <c r="C479" s="4">
        <f>'CLIENT ENROLLMENT DISCHARGE '!C478</f>
        <v>0</v>
      </c>
      <c r="D479" s="52"/>
      <c r="E479" s="53"/>
      <c r="F479" s="52"/>
      <c r="G479" s="53"/>
      <c r="H479" s="63"/>
      <c r="I479" s="116"/>
      <c r="J479" s="144"/>
      <c r="K479" s="71"/>
      <c r="L479" s="53"/>
      <c r="M479" s="2"/>
      <c r="N479" s="1"/>
      <c r="O479" s="218">
        <f t="shared" si="14"/>
        <v>0</v>
      </c>
      <c r="P479" s="218">
        <f t="shared" si="15"/>
        <v>0</v>
      </c>
      <c r="Q479" s="60"/>
      <c r="R479" s="52"/>
      <c r="S479" s="66"/>
      <c r="T479" s="65"/>
      <c r="U479" s="68"/>
      <c r="V479" s="59"/>
      <c r="W479" s="6">
        <f>'CLIENT ENROLLMENT DISCHARGE '!M478</f>
        <v>0</v>
      </c>
      <c r="X479" s="76">
        <f>'CLIENT ENROLLMENT DISCHARGE '!L478</f>
        <v>0</v>
      </c>
      <c r="Y479" s="180"/>
    </row>
    <row r="480" spans="1:25" ht="50.1" customHeight="1" x14ac:dyDescent="0.25">
      <c r="A480" s="5">
        <v>465</v>
      </c>
      <c r="B480" s="10">
        <f>'CLIENT ENROLLMENT DISCHARGE '!B479</f>
        <v>0</v>
      </c>
      <c r="C480" s="4">
        <f>'CLIENT ENROLLMENT DISCHARGE '!C479</f>
        <v>0</v>
      </c>
      <c r="D480" s="51"/>
      <c r="E480" s="52"/>
      <c r="F480" s="51"/>
      <c r="G480" s="52"/>
      <c r="H480" s="62"/>
      <c r="I480" s="115"/>
      <c r="J480" s="143"/>
      <c r="K480" s="70"/>
      <c r="L480" s="52"/>
      <c r="M480" s="8"/>
      <c r="N480" s="7"/>
      <c r="O480" s="218">
        <f t="shared" si="14"/>
        <v>0</v>
      </c>
      <c r="P480" s="218">
        <f t="shared" si="15"/>
        <v>0</v>
      </c>
      <c r="Q480" s="59"/>
      <c r="R480" s="51"/>
      <c r="S480" s="65"/>
      <c r="T480" s="64"/>
      <c r="U480" s="67"/>
      <c r="V480" s="74"/>
      <c r="W480" s="6">
        <f>'CLIENT ENROLLMENT DISCHARGE '!M479</f>
        <v>0</v>
      </c>
      <c r="X480" s="76">
        <f>'CLIENT ENROLLMENT DISCHARGE '!L479</f>
        <v>0</v>
      </c>
      <c r="Y480" s="180"/>
    </row>
    <row r="481" spans="1:25" ht="50.1" customHeight="1" x14ac:dyDescent="0.25">
      <c r="A481" s="5">
        <v>466</v>
      </c>
      <c r="B481" s="10">
        <f>'CLIENT ENROLLMENT DISCHARGE '!B480</f>
        <v>0</v>
      </c>
      <c r="C481" s="4">
        <f>'CLIENT ENROLLMENT DISCHARGE '!C480</f>
        <v>0</v>
      </c>
      <c r="D481" s="52"/>
      <c r="E481" s="53"/>
      <c r="F481" s="52"/>
      <c r="G481" s="53"/>
      <c r="H481" s="63"/>
      <c r="I481" s="116"/>
      <c r="J481" s="3"/>
      <c r="K481" s="71"/>
      <c r="L481" s="53"/>
      <c r="M481" s="2"/>
      <c r="N481" s="1"/>
      <c r="O481" s="218">
        <f t="shared" si="14"/>
        <v>0</v>
      </c>
      <c r="P481" s="218">
        <f t="shared" si="15"/>
        <v>0</v>
      </c>
      <c r="Q481" s="60"/>
      <c r="R481" s="52"/>
      <c r="S481" s="66"/>
      <c r="T481" s="65"/>
      <c r="U481" s="68"/>
      <c r="V481" s="75"/>
      <c r="W481" s="6">
        <f>'CLIENT ENROLLMENT DISCHARGE '!M480</f>
        <v>0</v>
      </c>
      <c r="X481" s="76">
        <f>'CLIENT ENROLLMENT DISCHARGE '!L480</f>
        <v>0</v>
      </c>
      <c r="Y481" s="180"/>
    </row>
    <row r="482" spans="1:25" ht="50.1" customHeight="1" x14ac:dyDescent="0.25">
      <c r="A482" s="5">
        <v>467</v>
      </c>
      <c r="B482" s="10">
        <f>'CLIENT ENROLLMENT DISCHARGE '!B481</f>
        <v>0</v>
      </c>
      <c r="C482" s="4">
        <f>'CLIENT ENROLLMENT DISCHARGE '!C481</f>
        <v>0</v>
      </c>
      <c r="D482" s="51"/>
      <c r="E482" s="52"/>
      <c r="F482" s="51"/>
      <c r="G482" s="52"/>
      <c r="H482" s="62"/>
      <c r="I482" s="115"/>
      <c r="J482" s="143"/>
      <c r="K482" s="70"/>
      <c r="L482" s="52"/>
      <c r="M482" s="8"/>
      <c r="N482" s="7"/>
      <c r="O482" s="218">
        <f t="shared" si="14"/>
        <v>0</v>
      </c>
      <c r="P482" s="218">
        <f t="shared" si="15"/>
        <v>0</v>
      </c>
      <c r="Q482" s="59"/>
      <c r="R482" s="51"/>
      <c r="S482" s="65"/>
      <c r="T482" s="64"/>
      <c r="U482" s="67"/>
      <c r="V482" s="74"/>
      <c r="W482" s="6">
        <f>'CLIENT ENROLLMENT DISCHARGE '!M481</f>
        <v>0</v>
      </c>
      <c r="X482" s="76">
        <f>'CLIENT ENROLLMENT DISCHARGE '!L481</f>
        <v>0</v>
      </c>
      <c r="Y482" s="180"/>
    </row>
    <row r="483" spans="1:25" ht="50.1" customHeight="1" x14ac:dyDescent="0.25">
      <c r="A483" s="5">
        <v>468</v>
      </c>
      <c r="B483" s="10">
        <f>'CLIENT ENROLLMENT DISCHARGE '!B482</f>
        <v>0</v>
      </c>
      <c r="C483" s="4">
        <f>'CLIENT ENROLLMENT DISCHARGE '!C482</f>
        <v>0</v>
      </c>
      <c r="D483" s="52"/>
      <c r="E483" s="53"/>
      <c r="F483" s="52"/>
      <c r="G483" s="53"/>
      <c r="H483" s="63"/>
      <c r="I483" s="116"/>
      <c r="J483" s="144"/>
      <c r="K483" s="71"/>
      <c r="L483" s="53"/>
      <c r="M483" s="2"/>
      <c r="N483" s="1"/>
      <c r="O483" s="218">
        <f t="shared" si="14"/>
        <v>0</v>
      </c>
      <c r="P483" s="218">
        <f t="shared" si="15"/>
        <v>0</v>
      </c>
      <c r="Q483" s="60"/>
      <c r="R483" s="52"/>
      <c r="S483" s="66"/>
      <c r="T483" s="65"/>
      <c r="U483" s="68"/>
      <c r="V483" s="59"/>
      <c r="W483" s="6">
        <f>'CLIENT ENROLLMENT DISCHARGE '!M482</f>
        <v>0</v>
      </c>
      <c r="X483" s="76">
        <f>'CLIENT ENROLLMENT DISCHARGE '!L482</f>
        <v>0</v>
      </c>
      <c r="Y483" s="180"/>
    </row>
    <row r="484" spans="1:25" ht="50.1" customHeight="1" x14ac:dyDescent="0.25">
      <c r="A484" s="5">
        <v>469</v>
      </c>
      <c r="B484" s="10">
        <f>'CLIENT ENROLLMENT DISCHARGE '!B483</f>
        <v>0</v>
      </c>
      <c r="C484" s="4">
        <f>'CLIENT ENROLLMENT DISCHARGE '!C483</f>
        <v>0</v>
      </c>
      <c r="D484" s="51"/>
      <c r="E484" s="52"/>
      <c r="F484" s="51"/>
      <c r="G484" s="52"/>
      <c r="H484" s="62"/>
      <c r="I484" s="115"/>
      <c r="J484" s="143"/>
      <c r="K484" s="70"/>
      <c r="L484" s="52"/>
      <c r="M484" s="8"/>
      <c r="N484" s="7"/>
      <c r="O484" s="218">
        <f t="shared" si="14"/>
        <v>0</v>
      </c>
      <c r="P484" s="218">
        <f t="shared" si="15"/>
        <v>0</v>
      </c>
      <c r="Q484" s="59"/>
      <c r="R484" s="51"/>
      <c r="S484" s="65"/>
      <c r="T484" s="64"/>
      <c r="U484" s="67"/>
      <c r="V484" s="74"/>
      <c r="W484" s="6">
        <f>'CLIENT ENROLLMENT DISCHARGE '!M483</f>
        <v>0</v>
      </c>
      <c r="X484" s="76">
        <f>'CLIENT ENROLLMENT DISCHARGE '!L483</f>
        <v>0</v>
      </c>
      <c r="Y484" s="180"/>
    </row>
    <row r="485" spans="1:25" ht="50.1" customHeight="1" x14ac:dyDescent="0.25">
      <c r="A485" s="5">
        <v>470</v>
      </c>
      <c r="B485" s="10">
        <f>'CLIENT ENROLLMENT DISCHARGE '!B484</f>
        <v>0</v>
      </c>
      <c r="C485" s="4">
        <f>'CLIENT ENROLLMENT DISCHARGE '!C484</f>
        <v>0</v>
      </c>
      <c r="D485" s="52"/>
      <c r="E485" s="53"/>
      <c r="F485" s="52"/>
      <c r="G485" s="53"/>
      <c r="H485" s="63"/>
      <c r="I485" s="116"/>
      <c r="J485" s="144"/>
      <c r="K485" s="71"/>
      <c r="L485" s="53"/>
      <c r="M485" s="2"/>
      <c r="N485" s="1"/>
      <c r="O485" s="218">
        <f t="shared" si="14"/>
        <v>0</v>
      </c>
      <c r="P485" s="218">
        <f t="shared" si="15"/>
        <v>0</v>
      </c>
      <c r="Q485" s="60"/>
      <c r="R485" s="52"/>
      <c r="S485" s="66"/>
      <c r="T485" s="65"/>
      <c r="U485" s="68"/>
      <c r="V485" s="59"/>
      <c r="W485" s="6">
        <f>'CLIENT ENROLLMENT DISCHARGE '!M484</f>
        <v>0</v>
      </c>
      <c r="X485" s="76">
        <f>'CLIENT ENROLLMENT DISCHARGE '!L484</f>
        <v>0</v>
      </c>
      <c r="Y485" s="180"/>
    </row>
    <row r="486" spans="1:25" ht="50.1" customHeight="1" x14ac:dyDescent="0.25">
      <c r="A486" s="5">
        <v>471</v>
      </c>
      <c r="B486" s="10">
        <f>'CLIENT ENROLLMENT DISCHARGE '!B485</f>
        <v>0</v>
      </c>
      <c r="C486" s="4">
        <f>'CLIENT ENROLLMENT DISCHARGE '!C485</f>
        <v>0</v>
      </c>
      <c r="D486" s="51"/>
      <c r="E486" s="52"/>
      <c r="F486" s="51"/>
      <c r="G486" s="52"/>
      <c r="H486" s="62"/>
      <c r="I486" s="115"/>
      <c r="J486" s="143"/>
      <c r="K486" s="70"/>
      <c r="L486" s="52"/>
      <c r="M486" s="8"/>
      <c r="N486" s="7"/>
      <c r="O486" s="218">
        <f t="shared" si="14"/>
        <v>0</v>
      </c>
      <c r="P486" s="218">
        <f t="shared" si="15"/>
        <v>0</v>
      </c>
      <c r="Q486" s="59"/>
      <c r="R486" s="51"/>
      <c r="S486" s="65"/>
      <c r="T486" s="64"/>
      <c r="U486" s="67"/>
      <c r="V486" s="74"/>
      <c r="W486" s="6">
        <f>'CLIENT ENROLLMENT DISCHARGE '!M485</f>
        <v>0</v>
      </c>
      <c r="X486" s="76">
        <f>'CLIENT ENROLLMENT DISCHARGE '!L485</f>
        <v>0</v>
      </c>
      <c r="Y486" s="180"/>
    </row>
    <row r="487" spans="1:25" ht="50.1" customHeight="1" x14ac:dyDescent="0.25">
      <c r="A487" s="5">
        <v>472</v>
      </c>
      <c r="B487" s="10">
        <f>'CLIENT ENROLLMENT DISCHARGE '!B486</f>
        <v>0</v>
      </c>
      <c r="C487" s="4">
        <f>'CLIENT ENROLLMENT DISCHARGE '!C486</f>
        <v>0</v>
      </c>
      <c r="D487" s="52"/>
      <c r="E487" s="53"/>
      <c r="F487" s="52"/>
      <c r="G487" s="53"/>
      <c r="H487" s="63"/>
      <c r="I487" s="116"/>
      <c r="J487" s="144"/>
      <c r="K487" s="71"/>
      <c r="L487" s="53"/>
      <c r="M487" s="2"/>
      <c r="N487" s="1"/>
      <c r="O487" s="218">
        <f t="shared" si="14"/>
        <v>0</v>
      </c>
      <c r="P487" s="218">
        <f t="shared" si="15"/>
        <v>0</v>
      </c>
      <c r="Q487" s="60"/>
      <c r="R487" s="52"/>
      <c r="S487" s="66"/>
      <c r="T487" s="65"/>
      <c r="U487" s="68"/>
      <c r="V487" s="59"/>
      <c r="W487" s="6">
        <f>'CLIENT ENROLLMENT DISCHARGE '!M486</f>
        <v>0</v>
      </c>
      <c r="X487" s="76">
        <f>'CLIENT ENROLLMENT DISCHARGE '!L486</f>
        <v>0</v>
      </c>
      <c r="Y487" s="180"/>
    </row>
    <row r="488" spans="1:25" ht="50.1" customHeight="1" x14ac:dyDescent="0.25">
      <c r="A488" s="5">
        <v>473</v>
      </c>
      <c r="B488" s="10">
        <f>'CLIENT ENROLLMENT DISCHARGE '!B487</f>
        <v>0</v>
      </c>
      <c r="C488" s="4">
        <f>'CLIENT ENROLLMENT DISCHARGE '!C487</f>
        <v>0</v>
      </c>
      <c r="D488" s="51"/>
      <c r="E488" s="52"/>
      <c r="F488" s="51"/>
      <c r="G488" s="52"/>
      <c r="H488" s="62"/>
      <c r="I488" s="115"/>
      <c r="J488" s="143"/>
      <c r="K488" s="70"/>
      <c r="L488" s="52"/>
      <c r="M488" s="8"/>
      <c r="N488" s="7"/>
      <c r="O488" s="218">
        <f t="shared" si="14"/>
        <v>0</v>
      </c>
      <c r="P488" s="218">
        <f t="shared" si="15"/>
        <v>0</v>
      </c>
      <c r="Q488" s="59"/>
      <c r="R488" s="51"/>
      <c r="S488" s="65"/>
      <c r="T488" s="64"/>
      <c r="U488" s="67"/>
      <c r="V488" s="74"/>
      <c r="W488" s="6">
        <f>'CLIENT ENROLLMENT DISCHARGE '!M487</f>
        <v>0</v>
      </c>
      <c r="X488" s="76">
        <f>'CLIENT ENROLLMENT DISCHARGE '!L487</f>
        <v>0</v>
      </c>
      <c r="Y488" s="180"/>
    </row>
    <row r="489" spans="1:25" ht="50.1" customHeight="1" x14ac:dyDescent="0.25">
      <c r="A489" s="5">
        <v>474</v>
      </c>
      <c r="B489" s="10">
        <f>'CLIENT ENROLLMENT DISCHARGE '!B488</f>
        <v>0</v>
      </c>
      <c r="C489" s="4">
        <f>'CLIENT ENROLLMENT DISCHARGE '!C488</f>
        <v>0</v>
      </c>
      <c r="D489" s="52"/>
      <c r="E489" s="53"/>
      <c r="F489" s="52"/>
      <c r="G489" s="53"/>
      <c r="H489" s="63"/>
      <c r="I489" s="116"/>
      <c r="J489" s="144"/>
      <c r="K489" s="71"/>
      <c r="L489" s="53"/>
      <c r="M489" s="2"/>
      <c r="N489" s="1"/>
      <c r="O489" s="218">
        <f t="shared" si="14"/>
        <v>0</v>
      </c>
      <c r="P489" s="218">
        <f t="shared" si="15"/>
        <v>0</v>
      </c>
      <c r="Q489" s="60"/>
      <c r="R489" s="52"/>
      <c r="S489" s="66"/>
      <c r="T489" s="65"/>
      <c r="U489" s="68"/>
      <c r="V489" s="59"/>
      <c r="W489" s="6">
        <f>'CLIENT ENROLLMENT DISCHARGE '!M488</f>
        <v>0</v>
      </c>
      <c r="X489" s="76">
        <f>'CLIENT ENROLLMENT DISCHARGE '!L488</f>
        <v>0</v>
      </c>
      <c r="Y489" s="180"/>
    </row>
    <row r="490" spans="1:25" ht="50.1" customHeight="1" x14ac:dyDescent="0.25">
      <c r="A490" s="5">
        <v>475</v>
      </c>
      <c r="B490" s="10">
        <f>'CLIENT ENROLLMENT DISCHARGE '!B489</f>
        <v>0</v>
      </c>
      <c r="C490" s="4">
        <f>'CLIENT ENROLLMENT DISCHARGE '!C489</f>
        <v>0</v>
      </c>
      <c r="D490" s="51"/>
      <c r="E490" s="52"/>
      <c r="F490" s="51"/>
      <c r="G490" s="52"/>
      <c r="H490" s="62"/>
      <c r="I490" s="115"/>
      <c r="J490" s="143"/>
      <c r="K490" s="70"/>
      <c r="L490" s="52"/>
      <c r="M490" s="8"/>
      <c r="N490" s="7"/>
      <c r="O490" s="218">
        <f t="shared" si="14"/>
        <v>0</v>
      </c>
      <c r="P490" s="218">
        <f t="shared" si="15"/>
        <v>0</v>
      </c>
      <c r="Q490" s="59"/>
      <c r="R490" s="51"/>
      <c r="S490" s="65"/>
      <c r="T490" s="64"/>
      <c r="U490" s="67"/>
      <c r="V490" s="74"/>
      <c r="W490" s="6">
        <f>'CLIENT ENROLLMENT DISCHARGE '!M489</f>
        <v>0</v>
      </c>
      <c r="X490" s="76">
        <f>'CLIENT ENROLLMENT DISCHARGE '!L489</f>
        <v>0</v>
      </c>
      <c r="Y490" s="180"/>
    </row>
    <row r="491" spans="1:25" ht="50.1" customHeight="1" x14ac:dyDescent="0.25">
      <c r="A491" s="5">
        <v>476</v>
      </c>
      <c r="B491" s="10">
        <f>'CLIENT ENROLLMENT DISCHARGE '!B490</f>
        <v>0</v>
      </c>
      <c r="C491" s="4">
        <f>'CLIENT ENROLLMENT DISCHARGE '!C490</f>
        <v>0</v>
      </c>
      <c r="D491" s="52"/>
      <c r="E491" s="53"/>
      <c r="F491" s="52"/>
      <c r="G491" s="53"/>
      <c r="H491" s="63"/>
      <c r="I491" s="116"/>
      <c r="J491" s="144"/>
      <c r="K491" s="71"/>
      <c r="L491" s="53"/>
      <c r="M491" s="2"/>
      <c r="N491" s="1"/>
      <c r="O491" s="218">
        <f t="shared" si="14"/>
        <v>0</v>
      </c>
      <c r="P491" s="218">
        <f t="shared" si="15"/>
        <v>0</v>
      </c>
      <c r="Q491" s="60"/>
      <c r="R491" s="52"/>
      <c r="S491" s="66"/>
      <c r="T491" s="65"/>
      <c r="U491" s="68"/>
      <c r="V491" s="75"/>
      <c r="W491" s="6">
        <f>'CLIENT ENROLLMENT DISCHARGE '!M490</f>
        <v>0</v>
      </c>
      <c r="X491" s="76">
        <f>'CLIENT ENROLLMENT DISCHARGE '!L490</f>
        <v>0</v>
      </c>
      <c r="Y491" s="180"/>
    </row>
    <row r="492" spans="1:25" ht="50.1" customHeight="1" x14ac:dyDescent="0.25">
      <c r="A492" s="5">
        <v>477</v>
      </c>
      <c r="B492" s="10">
        <f>'CLIENT ENROLLMENT DISCHARGE '!B491</f>
        <v>0</v>
      </c>
      <c r="C492" s="4">
        <f>'CLIENT ENROLLMENT DISCHARGE '!C491</f>
        <v>0</v>
      </c>
      <c r="D492" s="51"/>
      <c r="E492" s="52"/>
      <c r="F492" s="51"/>
      <c r="G492" s="52"/>
      <c r="H492" s="62"/>
      <c r="I492" s="115"/>
      <c r="J492" s="143"/>
      <c r="K492" s="70"/>
      <c r="L492" s="52"/>
      <c r="M492" s="8"/>
      <c r="N492" s="7"/>
      <c r="O492" s="218">
        <f t="shared" si="14"/>
        <v>0</v>
      </c>
      <c r="P492" s="218">
        <f t="shared" si="15"/>
        <v>0</v>
      </c>
      <c r="Q492" s="59"/>
      <c r="R492" s="51"/>
      <c r="S492" s="65"/>
      <c r="T492" s="64"/>
      <c r="U492" s="67"/>
      <c r="V492" s="74"/>
      <c r="W492" s="6">
        <f>'CLIENT ENROLLMENT DISCHARGE '!M491</f>
        <v>0</v>
      </c>
      <c r="X492" s="76">
        <f>'CLIENT ENROLLMENT DISCHARGE '!L491</f>
        <v>0</v>
      </c>
      <c r="Y492" s="180"/>
    </row>
    <row r="493" spans="1:25" ht="50.1" customHeight="1" x14ac:dyDescent="0.25">
      <c r="A493" s="5">
        <v>478</v>
      </c>
      <c r="B493" s="10">
        <f>'CLIENT ENROLLMENT DISCHARGE '!B492</f>
        <v>0</v>
      </c>
      <c r="C493" s="4">
        <f>'CLIENT ENROLLMENT DISCHARGE '!C492</f>
        <v>0</v>
      </c>
      <c r="D493" s="52"/>
      <c r="E493" s="53"/>
      <c r="F493" s="52"/>
      <c r="G493" s="53"/>
      <c r="H493" s="63"/>
      <c r="I493" s="116"/>
      <c r="J493" s="144"/>
      <c r="K493" s="71"/>
      <c r="L493" s="53"/>
      <c r="M493" s="2"/>
      <c r="N493" s="1"/>
      <c r="O493" s="218">
        <f t="shared" si="14"/>
        <v>0</v>
      </c>
      <c r="P493" s="218">
        <f t="shared" si="15"/>
        <v>0</v>
      </c>
      <c r="Q493" s="60"/>
      <c r="R493" s="52"/>
      <c r="S493" s="66"/>
      <c r="T493" s="65"/>
      <c r="U493" s="68"/>
      <c r="V493" s="59"/>
      <c r="W493" s="6">
        <f>'CLIENT ENROLLMENT DISCHARGE '!M492</f>
        <v>0</v>
      </c>
      <c r="X493" s="76">
        <f>'CLIENT ENROLLMENT DISCHARGE '!L492</f>
        <v>0</v>
      </c>
      <c r="Y493" s="180"/>
    </row>
    <row r="494" spans="1:25" ht="50.1" customHeight="1" x14ac:dyDescent="0.25">
      <c r="A494" s="5">
        <v>479</v>
      </c>
      <c r="B494" s="10">
        <f>'CLIENT ENROLLMENT DISCHARGE '!B493</f>
        <v>0</v>
      </c>
      <c r="C494" s="4">
        <f>'CLIENT ENROLLMENT DISCHARGE '!C493</f>
        <v>0</v>
      </c>
      <c r="D494" s="51"/>
      <c r="E494" s="52"/>
      <c r="F494" s="51"/>
      <c r="G494" s="52"/>
      <c r="H494" s="62"/>
      <c r="I494" s="115"/>
      <c r="J494" s="143"/>
      <c r="K494" s="70"/>
      <c r="L494" s="52"/>
      <c r="M494" s="8"/>
      <c r="N494" s="7"/>
      <c r="O494" s="218">
        <f t="shared" si="14"/>
        <v>0</v>
      </c>
      <c r="P494" s="218">
        <f t="shared" si="15"/>
        <v>0</v>
      </c>
      <c r="Q494" s="59"/>
      <c r="R494" s="51"/>
      <c r="S494" s="65"/>
      <c r="T494" s="64"/>
      <c r="U494" s="67"/>
      <c r="V494" s="74"/>
      <c r="W494" s="6">
        <f>'CLIENT ENROLLMENT DISCHARGE '!M493</f>
        <v>0</v>
      </c>
      <c r="X494" s="76">
        <f>'CLIENT ENROLLMENT DISCHARGE '!L493</f>
        <v>0</v>
      </c>
      <c r="Y494" s="180"/>
    </row>
    <row r="495" spans="1:25" ht="50.1" customHeight="1" x14ac:dyDescent="0.25">
      <c r="A495" s="5">
        <v>480</v>
      </c>
      <c r="B495" s="10">
        <f>'CLIENT ENROLLMENT DISCHARGE '!B494</f>
        <v>0</v>
      </c>
      <c r="C495" s="4">
        <f>'CLIENT ENROLLMENT DISCHARGE '!C494</f>
        <v>0</v>
      </c>
      <c r="D495" s="52"/>
      <c r="E495" s="53"/>
      <c r="F495" s="52"/>
      <c r="G495" s="53"/>
      <c r="H495" s="63"/>
      <c r="I495" s="116"/>
      <c r="J495" s="144"/>
      <c r="K495" s="71"/>
      <c r="L495" s="53"/>
      <c r="M495" s="2"/>
      <c r="N495" s="1"/>
      <c r="O495" s="218">
        <f t="shared" si="14"/>
        <v>0</v>
      </c>
      <c r="P495" s="218">
        <f t="shared" si="15"/>
        <v>0</v>
      </c>
      <c r="Q495" s="60"/>
      <c r="R495" s="52"/>
      <c r="S495" s="66"/>
      <c r="T495" s="65"/>
      <c r="U495" s="68"/>
      <c r="V495" s="59"/>
      <c r="W495" s="6">
        <f>'CLIENT ENROLLMENT DISCHARGE '!M494</f>
        <v>0</v>
      </c>
      <c r="X495" s="76">
        <f>'CLIENT ENROLLMENT DISCHARGE '!L494</f>
        <v>0</v>
      </c>
      <c r="Y495" s="180"/>
    </row>
    <row r="496" spans="1:25" ht="50.1" customHeight="1" x14ac:dyDescent="0.25">
      <c r="A496" s="5">
        <v>481</v>
      </c>
      <c r="B496" s="10">
        <f>'CLIENT ENROLLMENT DISCHARGE '!B495</f>
        <v>0</v>
      </c>
      <c r="C496" s="4">
        <f>'CLIENT ENROLLMENT DISCHARGE '!C495</f>
        <v>0</v>
      </c>
      <c r="D496" s="51"/>
      <c r="E496" s="52"/>
      <c r="F496" s="51"/>
      <c r="G496" s="52"/>
      <c r="H496" s="62"/>
      <c r="I496" s="115"/>
      <c r="J496" s="143"/>
      <c r="K496" s="70"/>
      <c r="L496" s="52"/>
      <c r="M496" s="8"/>
      <c r="N496" s="7"/>
      <c r="O496" s="218">
        <f t="shared" si="14"/>
        <v>0</v>
      </c>
      <c r="P496" s="218">
        <f t="shared" si="15"/>
        <v>0</v>
      </c>
      <c r="Q496" s="59"/>
      <c r="R496" s="51"/>
      <c r="S496" s="65"/>
      <c r="T496" s="64"/>
      <c r="U496" s="67"/>
      <c r="V496" s="74"/>
      <c r="W496" s="6">
        <f>'CLIENT ENROLLMENT DISCHARGE '!M495</f>
        <v>0</v>
      </c>
      <c r="X496" s="76">
        <f>'CLIENT ENROLLMENT DISCHARGE '!L495</f>
        <v>0</v>
      </c>
      <c r="Y496" s="180"/>
    </row>
    <row r="497" spans="1:25" ht="50.1" customHeight="1" x14ac:dyDescent="0.25">
      <c r="A497" s="5">
        <v>482</v>
      </c>
      <c r="B497" s="10">
        <f>'CLIENT ENROLLMENT DISCHARGE '!B496</f>
        <v>0</v>
      </c>
      <c r="C497" s="4">
        <f>'CLIENT ENROLLMENT DISCHARGE '!C496</f>
        <v>0</v>
      </c>
      <c r="D497" s="52"/>
      <c r="E497" s="53"/>
      <c r="F497" s="52"/>
      <c r="G497" s="53"/>
      <c r="H497" s="63"/>
      <c r="I497" s="116"/>
      <c r="J497" s="144"/>
      <c r="K497" s="71"/>
      <c r="L497" s="53"/>
      <c r="M497" s="2"/>
      <c r="N497" s="1"/>
      <c r="O497" s="218">
        <f t="shared" si="14"/>
        <v>0</v>
      </c>
      <c r="P497" s="218">
        <f t="shared" si="15"/>
        <v>0</v>
      </c>
      <c r="Q497" s="60"/>
      <c r="R497" s="52"/>
      <c r="S497" s="66"/>
      <c r="T497" s="65"/>
      <c r="U497" s="68"/>
      <c r="V497" s="59"/>
      <c r="W497" s="6">
        <f>'CLIENT ENROLLMENT DISCHARGE '!M496</f>
        <v>0</v>
      </c>
      <c r="X497" s="76">
        <f>'CLIENT ENROLLMENT DISCHARGE '!L496</f>
        <v>0</v>
      </c>
      <c r="Y497" s="180"/>
    </row>
    <row r="498" spans="1:25" ht="50.1" customHeight="1" x14ac:dyDescent="0.25">
      <c r="A498" s="5">
        <v>483</v>
      </c>
      <c r="B498" s="10">
        <f>'CLIENT ENROLLMENT DISCHARGE '!B497</f>
        <v>0</v>
      </c>
      <c r="C498" s="4">
        <f>'CLIENT ENROLLMENT DISCHARGE '!C497</f>
        <v>0</v>
      </c>
      <c r="D498" s="51"/>
      <c r="E498" s="52"/>
      <c r="F498" s="51"/>
      <c r="G498" s="52"/>
      <c r="H498" s="62"/>
      <c r="I498" s="115"/>
      <c r="J498" s="143"/>
      <c r="K498" s="70"/>
      <c r="L498" s="52"/>
      <c r="M498" s="8"/>
      <c r="N498" s="7"/>
      <c r="O498" s="218">
        <f t="shared" si="14"/>
        <v>0</v>
      </c>
      <c r="P498" s="218">
        <f t="shared" si="15"/>
        <v>0</v>
      </c>
      <c r="Q498" s="59"/>
      <c r="R498" s="51"/>
      <c r="S498" s="65"/>
      <c r="T498" s="64"/>
      <c r="U498" s="67"/>
      <c r="V498" s="74"/>
      <c r="W498" s="6">
        <f>'CLIENT ENROLLMENT DISCHARGE '!M497</f>
        <v>0</v>
      </c>
      <c r="X498" s="76">
        <f>'CLIENT ENROLLMENT DISCHARGE '!L497</f>
        <v>0</v>
      </c>
      <c r="Y498" s="180"/>
    </row>
    <row r="499" spans="1:25" ht="50.1" customHeight="1" x14ac:dyDescent="0.25">
      <c r="A499" s="5">
        <v>484</v>
      </c>
      <c r="B499" s="10">
        <f>'CLIENT ENROLLMENT DISCHARGE '!B498</f>
        <v>0</v>
      </c>
      <c r="C499" s="4">
        <f>'CLIENT ENROLLMENT DISCHARGE '!C498</f>
        <v>0</v>
      </c>
      <c r="D499" s="52"/>
      <c r="E499" s="53"/>
      <c r="F499" s="52"/>
      <c r="G499" s="53"/>
      <c r="H499" s="63"/>
      <c r="I499" s="116"/>
      <c r="J499" s="144"/>
      <c r="K499" s="71"/>
      <c r="L499" s="53"/>
      <c r="M499" s="2"/>
      <c r="N499" s="1"/>
      <c r="O499" s="218">
        <f t="shared" si="14"/>
        <v>0</v>
      </c>
      <c r="P499" s="218">
        <f t="shared" si="15"/>
        <v>0</v>
      </c>
      <c r="Q499" s="60"/>
      <c r="R499" s="52"/>
      <c r="S499" s="66"/>
      <c r="T499" s="65"/>
      <c r="U499" s="68"/>
      <c r="V499" s="59"/>
      <c r="W499" s="6">
        <f>'CLIENT ENROLLMENT DISCHARGE '!M498</f>
        <v>0</v>
      </c>
      <c r="X499" s="76">
        <f>'CLIENT ENROLLMENT DISCHARGE '!L498</f>
        <v>0</v>
      </c>
      <c r="Y499" s="180"/>
    </row>
    <row r="500" spans="1:25" ht="50.1" customHeight="1" x14ac:dyDescent="0.25">
      <c r="A500" s="5">
        <v>485</v>
      </c>
      <c r="B500" s="10">
        <f>'CLIENT ENROLLMENT DISCHARGE '!B499</f>
        <v>0</v>
      </c>
      <c r="C500" s="4">
        <f>'CLIENT ENROLLMENT DISCHARGE '!C499</f>
        <v>0</v>
      </c>
      <c r="D500" s="51"/>
      <c r="E500" s="52"/>
      <c r="F500" s="51"/>
      <c r="G500" s="52"/>
      <c r="H500" s="62"/>
      <c r="I500" s="115"/>
      <c r="J500" s="143"/>
      <c r="K500" s="70"/>
      <c r="L500" s="52"/>
      <c r="M500" s="8"/>
      <c r="N500" s="7"/>
      <c r="O500" s="218">
        <f t="shared" si="14"/>
        <v>0</v>
      </c>
      <c r="P500" s="218">
        <f t="shared" si="15"/>
        <v>0</v>
      </c>
      <c r="Q500" s="59"/>
      <c r="R500" s="51"/>
      <c r="S500" s="65"/>
      <c r="T500" s="64"/>
      <c r="U500" s="67"/>
      <c r="V500" s="74"/>
      <c r="W500" s="6">
        <f>'CLIENT ENROLLMENT DISCHARGE '!M499</f>
        <v>0</v>
      </c>
      <c r="X500" s="76">
        <f>'CLIENT ENROLLMENT DISCHARGE '!L499</f>
        <v>0</v>
      </c>
      <c r="Y500" s="180"/>
    </row>
    <row r="501" spans="1:25" ht="50.1" customHeight="1" x14ac:dyDescent="0.25">
      <c r="A501" s="5">
        <v>486</v>
      </c>
      <c r="B501" s="10">
        <f>'CLIENT ENROLLMENT DISCHARGE '!B500</f>
        <v>0</v>
      </c>
      <c r="C501" s="4">
        <f>'CLIENT ENROLLMENT DISCHARGE '!C500</f>
        <v>0</v>
      </c>
      <c r="D501" s="52"/>
      <c r="E501" s="53"/>
      <c r="F501" s="52"/>
      <c r="G501" s="53"/>
      <c r="H501" s="63"/>
      <c r="I501" s="116"/>
      <c r="J501" s="3"/>
      <c r="K501" s="71"/>
      <c r="L501" s="53"/>
      <c r="M501" s="2"/>
      <c r="N501" s="1"/>
      <c r="O501" s="218">
        <f t="shared" si="14"/>
        <v>0</v>
      </c>
      <c r="P501" s="218">
        <f t="shared" si="15"/>
        <v>0</v>
      </c>
      <c r="Q501" s="60"/>
      <c r="R501" s="52"/>
      <c r="S501" s="66"/>
      <c r="T501" s="65"/>
      <c r="U501" s="68"/>
      <c r="V501" s="75"/>
      <c r="W501" s="6">
        <f>'CLIENT ENROLLMENT DISCHARGE '!M500</f>
        <v>0</v>
      </c>
      <c r="X501" s="76">
        <f>'CLIENT ENROLLMENT DISCHARGE '!L500</f>
        <v>0</v>
      </c>
      <c r="Y501" s="180"/>
    </row>
    <row r="502" spans="1:25" ht="50.1" customHeight="1" x14ac:dyDescent="0.25">
      <c r="A502" s="5">
        <v>487</v>
      </c>
      <c r="B502" s="10">
        <f>'CLIENT ENROLLMENT DISCHARGE '!B501</f>
        <v>0</v>
      </c>
      <c r="C502" s="4">
        <f>'CLIENT ENROLLMENT DISCHARGE '!C501</f>
        <v>0</v>
      </c>
      <c r="D502" s="51"/>
      <c r="E502" s="52"/>
      <c r="F502" s="51"/>
      <c r="G502" s="52"/>
      <c r="H502" s="62"/>
      <c r="I502" s="115"/>
      <c r="J502" s="143"/>
      <c r="K502" s="70"/>
      <c r="L502" s="52"/>
      <c r="M502" s="8"/>
      <c r="N502" s="7"/>
      <c r="O502" s="218">
        <f t="shared" si="14"/>
        <v>0</v>
      </c>
      <c r="P502" s="218">
        <f t="shared" si="15"/>
        <v>0</v>
      </c>
      <c r="Q502" s="59"/>
      <c r="R502" s="51"/>
      <c r="S502" s="65"/>
      <c r="T502" s="64"/>
      <c r="U502" s="67"/>
      <c r="V502" s="74"/>
      <c r="W502" s="6">
        <f>'CLIENT ENROLLMENT DISCHARGE '!M501</f>
        <v>0</v>
      </c>
      <c r="X502" s="76">
        <f>'CLIENT ENROLLMENT DISCHARGE '!L501</f>
        <v>0</v>
      </c>
      <c r="Y502" s="180"/>
    </row>
    <row r="503" spans="1:25" ht="50.1" customHeight="1" x14ac:dyDescent="0.25">
      <c r="A503" s="5">
        <v>488</v>
      </c>
      <c r="B503" s="10">
        <f>'CLIENT ENROLLMENT DISCHARGE '!B502</f>
        <v>0</v>
      </c>
      <c r="C503" s="4">
        <f>'CLIENT ENROLLMENT DISCHARGE '!C502</f>
        <v>0</v>
      </c>
      <c r="D503" s="52"/>
      <c r="E503" s="53"/>
      <c r="F503" s="52"/>
      <c r="G503" s="53"/>
      <c r="H503" s="63"/>
      <c r="I503" s="116"/>
      <c r="J503" s="144"/>
      <c r="K503" s="71"/>
      <c r="L503" s="53"/>
      <c r="M503" s="2"/>
      <c r="N503" s="1"/>
      <c r="O503" s="218">
        <f t="shared" si="14"/>
        <v>0</v>
      </c>
      <c r="P503" s="218">
        <f t="shared" si="15"/>
        <v>0</v>
      </c>
      <c r="Q503" s="60"/>
      <c r="R503" s="52"/>
      <c r="S503" s="66"/>
      <c r="T503" s="65"/>
      <c r="U503" s="68"/>
      <c r="V503" s="59"/>
      <c r="W503" s="6">
        <f>'CLIENT ENROLLMENT DISCHARGE '!M502</f>
        <v>0</v>
      </c>
      <c r="X503" s="76">
        <f>'CLIENT ENROLLMENT DISCHARGE '!L502</f>
        <v>0</v>
      </c>
      <c r="Y503" s="180"/>
    </row>
    <row r="504" spans="1:25" ht="50.1" customHeight="1" x14ac:dyDescent="0.25">
      <c r="A504" s="5">
        <v>489</v>
      </c>
      <c r="B504" s="10">
        <f>'CLIENT ENROLLMENT DISCHARGE '!B503</f>
        <v>0</v>
      </c>
      <c r="C504" s="4">
        <f>'CLIENT ENROLLMENT DISCHARGE '!C503</f>
        <v>0</v>
      </c>
      <c r="D504" s="51"/>
      <c r="E504" s="52"/>
      <c r="F504" s="51"/>
      <c r="G504" s="52"/>
      <c r="H504" s="62"/>
      <c r="I504" s="115"/>
      <c r="J504" s="143"/>
      <c r="K504" s="70"/>
      <c r="L504" s="52"/>
      <c r="M504" s="8"/>
      <c r="N504" s="7"/>
      <c r="O504" s="218">
        <f t="shared" si="14"/>
        <v>0</v>
      </c>
      <c r="P504" s="218">
        <f t="shared" si="15"/>
        <v>0</v>
      </c>
      <c r="Q504" s="59"/>
      <c r="R504" s="51"/>
      <c r="S504" s="65"/>
      <c r="T504" s="64"/>
      <c r="U504" s="67"/>
      <c r="V504" s="74"/>
      <c r="W504" s="6">
        <f>'CLIENT ENROLLMENT DISCHARGE '!M503</f>
        <v>0</v>
      </c>
      <c r="X504" s="76">
        <f>'CLIENT ENROLLMENT DISCHARGE '!L503</f>
        <v>0</v>
      </c>
      <c r="Y504" s="180"/>
    </row>
    <row r="505" spans="1:25" ht="50.1" customHeight="1" x14ac:dyDescent="0.25">
      <c r="A505" s="5">
        <v>490</v>
      </c>
      <c r="B505" s="10">
        <f>'CLIENT ENROLLMENT DISCHARGE '!B504</f>
        <v>0</v>
      </c>
      <c r="C505" s="4">
        <f>'CLIENT ENROLLMENT DISCHARGE '!C504</f>
        <v>0</v>
      </c>
      <c r="D505" s="52"/>
      <c r="E505" s="53"/>
      <c r="F505" s="52"/>
      <c r="G505" s="53"/>
      <c r="H505" s="63"/>
      <c r="I505" s="116"/>
      <c r="J505" s="144"/>
      <c r="K505" s="71"/>
      <c r="L505" s="53"/>
      <c r="M505" s="2"/>
      <c r="N505" s="1"/>
      <c r="O505" s="218">
        <f t="shared" si="14"/>
        <v>0</v>
      </c>
      <c r="P505" s="218">
        <f t="shared" si="15"/>
        <v>0</v>
      </c>
      <c r="Q505" s="60"/>
      <c r="R505" s="52"/>
      <c r="S505" s="66"/>
      <c r="T505" s="65"/>
      <c r="U505" s="68"/>
      <c r="V505" s="59"/>
      <c r="W505" s="6">
        <f>'CLIENT ENROLLMENT DISCHARGE '!M504</f>
        <v>0</v>
      </c>
      <c r="X505" s="76">
        <f>'CLIENT ENROLLMENT DISCHARGE '!L504</f>
        <v>0</v>
      </c>
      <c r="Y505" s="180"/>
    </row>
    <row r="506" spans="1:25" ht="50.1" customHeight="1" x14ac:dyDescent="0.25">
      <c r="A506" s="5">
        <v>491</v>
      </c>
      <c r="B506" s="10">
        <f>'CLIENT ENROLLMENT DISCHARGE '!B505</f>
        <v>0</v>
      </c>
      <c r="C506" s="4">
        <f>'CLIENT ENROLLMENT DISCHARGE '!C505</f>
        <v>0</v>
      </c>
      <c r="D506" s="51"/>
      <c r="E506" s="52"/>
      <c r="F506" s="51"/>
      <c r="G506" s="52"/>
      <c r="H506" s="62"/>
      <c r="I506" s="115"/>
      <c r="J506" s="143"/>
      <c r="K506" s="70"/>
      <c r="L506" s="52"/>
      <c r="M506" s="8"/>
      <c r="N506" s="7"/>
      <c r="O506" s="218">
        <f t="shared" si="14"/>
        <v>0</v>
      </c>
      <c r="P506" s="218">
        <f t="shared" si="15"/>
        <v>0</v>
      </c>
      <c r="Q506" s="59"/>
      <c r="R506" s="51"/>
      <c r="S506" s="65"/>
      <c r="T506" s="64"/>
      <c r="U506" s="67"/>
      <c r="V506" s="74"/>
      <c r="W506" s="6">
        <f>'CLIENT ENROLLMENT DISCHARGE '!M505</f>
        <v>0</v>
      </c>
      <c r="X506" s="76">
        <f>'CLIENT ENROLLMENT DISCHARGE '!L505</f>
        <v>0</v>
      </c>
      <c r="Y506" s="180"/>
    </row>
    <row r="507" spans="1:25" ht="50.1" customHeight="1" x14ac:dyDescent="0.25">
      <c r="A507" s="5">
        <v>492</v>
      </c>
      <c r="B507" s="10">
        <f>'CLIENT ENROLLMENT DISCHARGE '!B506</f>
        <v>0</v>
      </c>
      <c r="C507" s="4">
        <f>'CLIENT ENROLLMENT DISCHARGE '!C506</f>
        <v>0</v>
      </c>
      <c r="D507" s="52"/>
      <c r="E507" s="53"/>
      <c r="F507" s="52"/>
      <c r="G507" s="53"/>
      <c r="H507" s="63"/>
      <c r="I507" s="116"/>
      <c r="J507" s="144"/>
      <c r="K507" s="71"/>
      <c r="L507" s="53"/>
      <c r="M507" s="2"/>
      <c r="N507" s="1"/>
      <c r="O507" s="218">
        <f t="shared" si="14"/>
        <v>0</v>
      </c>
      <c r="P507" s="218">
        <f t="shared" si="15"/>
        <v>0</v>
      </c>
      <c r="Q507" s="60"/>
      <c r="R507" s="52"/>
      <c r="S507" s="66"/>
      <c r="T507" s="65"/>
      <c r="U507" s="68"/>
      <c r="V507" s="59"/>
      <c r="W507" s="6">
        <f>'CLIENT ENROLLMENT DISCHARGE '!M506</f>
        <v>0</v>
      </c>
      <c r="X507" s="76">
        <f>'CLIENT ENROLLMENT DISCHARGE '!L506</f>
        <v>0</v>
      </c>
      <c r="Y507" s="180"/>
    </row>
    <row r="508" spans="1:25" ht="50.1" customHeight="1" x14ac:dyDescent="0.25">
      <c r="A508" s="5">
        <v>493</v>
      </c>
      <c r="B508" s="10">
        <f>'CLIENT ENROLLMENT DISCHARGE '!B507</f>
        <v>0</v>
      </c>
      <c r="C508" s="4">
        <f>'CLIENT ENROLLMENT DISCHARGE '!C507</f>
        <v>0</v>
      </c>
      <c r="D508" s="51"/>
      <c r="E508" s="52"/>
      <c r="F508" s="51"/>
      <c r="G508" s="52"/>
      <c r="H508" s="62"/>
      <c r="I508" s="115"/>
      <c r="J508" s="143"/>
      <c r="K508" s="70"/>
      <c r="L508" s="52"/>
      <c r="M508" s="8"/>
      <c r="N508" s="7"/>
      <c r="O508" s="218">
        <f t="shared" si="14"/>
        <v>0</v>
      </c>
      <c r="P508" s="218">
        <f t="shared" si="15"/>
        <v>0</v>
      </c>
      <c r="Q508" s="59"/>
      <c r="R508" s="51"/>
      <c r="S508" s="65"/>
      <c r="T508" s="64"/>
      <c r="U508" s="67"/>
      <c r="V508" s="74"/>
      <c r="W508" s="6">
        <f>'CLIENT ENROLLMENT DISCHARGE '!M507</f>
        <v>0</v>
      </c>
      <c r="X508" s="76">
        <f>'CLIENT ENROLLMENT DISCHARGE '!L507</f>
        <v>0</v>
      </c>
      <c r="Y508" s="180"/>
    </row>
    <row r="509" spans="1:25" ht="50.1" customHeight="1" x14ac:dyDescent="0.25">
      <c r="A509" s="5">
        <v>494</v>
      </c>
      <c r="B509" s="10">
        <f>'CLIENT ENROLLMENT DISCHARGE '!B508</f>
        <v>0</v>
      </c>
      <c r="C509" s="4">
        <f>'CLIENT ENROLLMENT DISCHARGE '!C508</f>
        <v>0</v>
      </c>
      <c r="D509" s="52"/>
      <c r="E509" s="53"/>
      <c r="F509" s="52"/>
      <c r="G509" s="53"/>
      <c r="H509" s="63"/>
      <c r="I509" s="116"/>
      <c r="J509" s="144"/>
      <c r="K509" s="71"/>
      <c r="L509" s="53"/>
      <c r="M509" s="2"/>
      <c r="N509" s="1"/>
      <c r="O509" s="218">
        <f t="shared" si="14"/>
        <v>0</v>
      </c>
      <c r="P509" s="218">
        <f t="shared" si="15"/>
        <v>0</v>
      </c>
      <c r="Q509" s="60"/>
      <c r="R509" s="52"/>
      <c r="S509" s="66"/>
      <c r="T509" s="65"/>
      <c r="U509" s="68"/>
      <c r="V509" s="59"/>
      <c r="W509" s="6">
        <f>'CLIENT ENROLLMENT DISCHARGE '!M508</f>
        <v>0</v>
      </c>
      <c r="X509" s="76">
        <f>'CLIENT ENROLLMENT DISCHARGE '!L508</f>
        <v>0</v>
      </c>
      <c r="Y509" s="180"/>
    </row>
    <row r="510" spans="1:25" ht="50.1" customHeight="1" x14ac:dyDescent="0.25">
      <c r="A510" s="5">
        <v>495</v>
      </c>
      <c r="B510" s="10">
        <f>'CLIENT ENROLLMENT DISCHARGE '!B509</f>
        <v>0</v>
      </c>
      <c r="C510" s="4">
        <f>'CLIENT ENROLLMENT DISCHARGE '!C509</f>
        <v>0</v>
      </c>
      <c r="D510" s="51"/>
      <c r="E510" s="52"/>
      <c r="F510" s="51"/>
      <c r="G510" s="52"/>
      <c r="H510" s="62"/>
      <c r="I510" s="115"/>
      <c r="J510" s="143"/>
      <c r="K510" s="70"/>
      <c r="L510" s="52"/>
      <c r="M510" s="8"/>
      <c r="N510" s="7"/>
      <c r="O510" s="218">
        <f t="shared" si="14"/>
        <v>0</v>
      </c>
      <c r="P510" s="218">
        <f t="shared" si="15"/>
        <v>0</v>
      </c>
      <c r="Q510" s="59"/>
      <c r="R510" s="51"/>
      <c r="S510" s="65"/>
      <c r="T510" s="64"/>
      <c r="U510" s="67"/>
      <c r="V510" s="74"/>
      <c r="W510" s="6">
        <f>'CLIENT ENROLLMENT DISCHARGE '!M509</f>
        <v>0</v>
      </c>
      <c r="X510" s="76">
        <f>'CLIENT ENROLLMENT DISCHARGE '!L509</f>
        <v>0</v>
      </c>
      <c r="Y510" s="180"/>
    </row>
    <row r="511" spans="1:25" ht="50.1" customHeight="1" x14ac:dyDescent="0.25">
      <c r="A511" s="5">
        <v>496</v>
      </c>
      <c r="B511" s="10">
        <f>'CLIENT ENROLLMENT DISCHARGE '!B510</f>
        <v>0</v>
      </c>
      <c r="C511" s="4">
        <f>'CLIENT ENROLLMENT DISCHARGE '!C510</f>
        <v>0</v>
      </c>
      <c r="D511" s="52"/>
      <c r="E511" s="53"/>
      <c r="F511" s="52"/>
      <c r="G511" s="53"/>
      <c r="H511" s="63"/>
      <c r="I511" s="116"/>
      <c r="J511" s="144"/>
      <c r="K511" s="71"/>
      <c r="L511" s="53"/>
      <c r="M511" s="2"/>
      <c r="N511" s="1"/>
      <c r="O511" s="218">
        <f t="shared" si="14"/>
        <v>0</v>
      </c>
      <c r="P511" s="218">
        <f t="shared" si="15"/>
        <v>0</v>
      </c>
      <c r="Q511" s="60"/>
      <c r="R511" s="52"/>
      <c r="S511" s="66"/>
      <c r="T511" s="65"/>
      <c r="U511" s="68"/>
      <c r="V511" s="75"/>
      <c r="W511" s="6">
        <f>'CLIENT ENROLLMENT DISCHARGE '!M510</f>
        <v>0</v>
      </c>
      <c r="X511" s="76">
        <f>'CLIENT ENROLLMENT DISCHARGE '!L510</f>
        <v>0</v>
      </c>
      <c r="Y511" s="180"/>
    </row>
    <row r="512" spans="1:25" ht="50.1" customHeight="1" x14ac:dyDescent="0.25">
      <c r="A512" s="5">
        <v>497</v>
      </c>
      <c r="B512" s="10">
        <f>'CLIENT ENROLLMENT DISCHARGE '!B511</f>
        <v>0</v>
      </c>
      <c r="C512" s="4">
        <f>'CLIENT ENROLLMENT DISCHARGE '!C511</f>
        <v>0</v>
      </c>
      <c r="D512" s="51"/>
      <c r="E512" s="52"/>
      <c r="F512" s="51"/>
      <c r="G512" s="52"/>
      <c r="H512" s="62"/>
      <c r="I512" s="115"/>
      <c r="J512" s="143"/>
      <c r="K512" s="70"/>
      <c r="L512" s="52"/>
      <c r="M512" s="8"/>
      <c r="N512" s="7"/>
      <c r="O512" s="218">
        <f t="shared" si="14"/>
        <v>0</v>
      </c>
      <c r="P512" s="218">
        <f t="shared" si="15"/>
        <v>0</v>
      </c>
      <c r="Q512" s="59"/>
      <c r="R512" s="51"/>
      <c r="S512" s="65"/>
      <c r="T512" s="64"/>
      <c r="U512" s="67"/>
      <c r="V512" s="74"/>
      <c r="W512" s="6">
        <f>'CLIENT ENROLLMENT DISCHARGE '!M511</f>
        <v>0</v>
      </c>
      <c r="X512" s="76">
        <f>'CLIENT ENROLLMENT DISCHARGE '!L511</f>
        <v>0</v>
      </c>
      <c r="Y512" s="180"/>
    </row>
    <row r="513" spans="1:25" ht="50.1" customHeight="1" x14ac:dyDescent="0.25">
      <c r="A513" s="5">
        <v>498</v>
      </c>
      <c r="B513" s="10">
        <f>'CLIENT ENROLLMENT DISCHARGE '!B512</f>
        <v>0</v>
      </c>
      <c r="C513" s="4">
        <f>'CLIENT ENROLLMENT DISCHARGE '!C512</f>
        <v>0</v>
      </c>
      <c r="D513" s="52"/>
      <c r="E513" s="53"/>
      <c r="F513" s="52"/>
      <c r="G513" s="53"/>
      <c r="H513" s="63"/>
      <c r="I513" s="116"/>
      <c r="J513" s="144"/>
      <c r="K513" s="71"/>
      <c r="L513" s="53"/>
      <c r="M513" s="2"/>
      <c r="N513" s="1"/>
      <c r="O513" s="218">
        <f t="shared" si="14"/>
        <v>0</v>
      </c>
      <c r="P513" s="218">
        <f t="shared" si="15"/>
        <v>0</v>
      </c>
      <c r="Q513" s="60"/>
      <c r="R513" s="52"/>
      <c r="S513" s="66"/>
      <c r="T513" s="65"/>
      <c r="U513" s="68"/>
      <c r="V513" s="59"/>
      <c r="W513" s="6">
        <f>'CLIENT ENROLLMENT DISCHARGE '!M512</f>
        <v>0</v>
      </c>
      <c r="X513" s="76">
        <f>'CLIENT ENROLLMENT DISCHARGE '!L512</f>
        <v>0</v>
      </c>
      <c r="Y513" s="180"/>
    </row>
    <row r="514" spans="1:25" ht="50.1" customHeight="1" x14ac:dyDescent="0.25">
      <c r="A514" s="5">
        <v>499</v>
      </c>
      <c r="B514" s="10">
        <f>'CLIENT ENROLLMENT DISCHARGE '!B513</f>
        <v>0</v>
      </c>
      <c r="C514" s="4">
        <f>'CLIENT ENROLLMENT DISCHARGE '!C513</f>
        <v>0</v>
      </c>
      <c r="D514" s="51"/>
      <c r="E514" s="52"/>
      <c r="F514" s="51"/>
      <c r="G514" s="52"/>
      <c r="H514" s="62"/>
      <c r="I514" s="115"/>
      <c r="J514" s="143"/>
      <c r="K514" s="70"/>
      <c r="L514" s="52"/>
      <c r="M514" s="8"/>
      <c r="N514" s="7"/>
      <c r="O514" s="218">
        <f t="shared" si="14"/>
        <v>0</v>
      </c>
      <c r="P514" s="218">
        <f t="shared" si="15"/>
        <v>0</v>
      </c>
      <c r="Q514" s="59"/>
      <c r="R514" s="51"/>
      <c r="S514" s="65"/>
      <c r="T514" s="64"/>
      <c r="U514" s="67"/>
      <c r="V514" s="74"/>
      <c r="W514" s="6">
        <f>'CLIENT ENROLLMENT DISCHARGE '!M513</f>
        <v>0</v>
      </c>
      <c r="X514" s="76">
        <f>'CLIENT ENROLLMENT DISCHARGE '!L513</f>
        <v>0</v>
      </c>
      <c r="Y514" s="180"/>
    </row>
    <row r="515" spans="1:25" ht="50.1" customHeight="1" x14ac:dyDescent="0.25">
      <c r="A515" s="5">
        <v>500</v>
      </c>
      <c r="B515" s="10">
        <f>'CLIENT ENROLLMENT DISCHARGE '!B514</f>
        <v>0</v>
      </c>
      <c r="C515" s="4">
        <f>'CLIENT ENROLLMENT DISCHARGE '!C514</f>
        <v>0</v>
      </c>
      <c r="D515" s="52"/>
      <c r="E515" s="53"/>
      <c r="F515" s="52"/>
      <c r="G515" s="53"/>
      <c r="H515" s="63"/>
      <c r="I515" s="116"/>
      <c r="J515" s="144"/>
      <c r="K515" s="71"/>
      <c r="L515" s="53"/>
      <c r="M515" s="2"/>
      <c r="N515" s="1"/>
      <c r="O515" s="218">
        <f t="shared" si="14"/>
        <v>0</v>
      </c>
      <c r="P515" s="218">
        <f t="shared" si="15"/>
        <v>0</v>
      </c>
      <c r="Q515" s="60"/>
      <c r="R515" s="52"/>
      <c r="S515" s="66"/>
      <c r="T515" s="65"/>
      <c r="U515" s="68"/>
      <c r="V515" s="59"/>
      <c r="W515" s="6">
        <f>'CLIENT ENROLLMENT DISCHARGE '!M514</f>
        <v>0</v>
      </c>
      <c r="X515" s="76">
        <f>'CLIENT ENROLLMENT DISCHARGE '!L514</f>
        <v>0</v>
      </c>
      <c r="Y515" s="180"/>
    </row>
  </sheetData>
  <sheetProtection algorithmName="SHA-512" hashValue="EOdPvVbk4b67LtDTbHl3W8lRjFmDLmiW3Wn75UkEWF6QUdNi0LUvkqdwGME8JAWmb8tTTf/ocZkVE/rIMOOVSA==" saltValue="Yyu3eHc2/JLScOSRvBXsAQ==" spinCount="100000" sheet="1" objects="1" scenarios="1"/>
  <mergeCells count="45">
    <mergeCell ref="A5:D5"/>
    <mergeCell ref="A6:D6"/>
    <mergeCell ref="M14:N14"/>
    <mergeCell ref="D11:S11"/>
    <mergeCell ref="O14:O15"/>
    <mergeCell ref="P14:P15"/>
    <mergeCell ref="A12:Y12"/>
    <mergeCell ref="W14:W15"/>
    <mergeCell ref="E5:I5"/>
    <mergeCell ref="E6:I6"/>
    <mergeCell ref="G9:I9"/>
    <mergeCell ref="I14:I15"/>
    <mergeCell ref="H14:H15"/>
    <mergeCell ref="A9:D9"/>
    <mergeCell ref="A7:D8"/>
    <mergeCell ref="J5:M5"/>
    <mergeCell ref="J6:M6"/>
    <mergeCell ref="V14:V15"/>
    <mergeCell ref="U14:U15"/>
    <mergeCell ref="A10:S10"/>
    <mergeCell ref="E7:I8"/>
    <mergeCell ref="B14:B15"/>
    <mergeCell ref="C14:C15"/>
    <mergeCell ref="D14:D15"/>
    <mergeCell ref="G14:G15"/>
    <mergeCell ref="L14:L15"/>
    <mergeCell ref="Q14:Q15"/>
    <mergeCell ref="R14:R15"/>
    <mergeCell ref="S14:S15"/>
    <mergeCell ref="Y14:Y15"/>
    <mergeCell ref="A2:S2"/>
    <mergeCell ref="A3:S3"/>
    <mergeCell ref="A4:S4"/>
    <mergeCell ref="E9:F9"/>
    <mergeCell ref="T14:T15"/>
    <mergeCell ref="J7:M7"/>
    <mergeCell ref="J8:M8"/>
    <mergeCell ref="J9:M9"/>
    <mergeCell ref="N5:S5"/>
    <mergeCell ref="A11:C11"/>
    <mergeCell ref="A14:A15"/>
    <mergeCell ref="N6:S6"/>
    <mergeCell ref="N7:S7"/>
    <mergeCell ref="N8:S8"/>
    <mergeCell ref="N9:S9"/>
  </mergeCells>
  <conditionalFormatting sqref="A16:E17 S17:V17 B17:C515 S18:W18 A18:A515 S19:V19 S20:W20 S21:V21 V22:W22 V23 V24:W24">
    <cfRule type="expression" dxfId="50" priority="2152">
      <formula>$W16="YES"</formula>
    </cfRule>
  </conditionalFormatting>
  <conditionalFormatting sqref="A16:X515">
    <cfRule type="expression" dxfId="49" priority="1">
      <formula>$X16="YES"</formula>
    </cfRule>
  </conditionalFormatting>
  <conditionalFormatting sqref="B18:D25">
    <cfRule type="expression" dxfId="48" priority="3377">
      <formula>$W18="YES"</formula>
    </cfRule>
  </conditionalFormatting>
  <conditionalFormatting sqref="D26:D515">
    <cfRule type="expression" dxfId="47" priority="1403">
      <formula>$W26="YES"</formula>
    </cfRule>
  </conditionalFormatting>
  <conditionalFormatting sqref="E18:E515">
    <cfRule type="expression" dxfId="46" priority="904">
      <formula>$W18="YES"</formula>
    </cfRule>
  </conditionalFormatting>
  <conditionalFormatting sqref="F16:R515">
    <cfRule type="expression" dxfId="45" priority="2">
      <formula>$W16="YES"</formula>
    </cfRule>
  </conditionalFormatting>
  <conditionalFormatting sqref="H16:I515">
    <cfRule type="expression" dxfId="44" priority="53">
      <formula>$H16="Other (Specify) "</formula>
    </cfRule>
  </conditionalFormatting>
  <conditionalFormatting sqref="S22:U515">
    <cfRule type="expression" dxfId="43" priority="54">
      <formula>$W22="YES"</formula>
    </cfRule>
  </conditionalFormatting>
  <conditionalFormatting sqref="S16:W16">
    <cfRule type="expression" dxfId="42" priority="3397">
      <formula>$W16="YES"</formula>
    </cfRule>
  </conditionalFormatting>
  <conditionalFormatting sqref="V25:V515">
    <cfRule type="expression" dxfId="41" priority="4">
      <formula>$W25="YES"</formula>
    </cfRule>
  </conditionalFormatting>
  <conditionalFormatting sqref="W17:W515">
    <cfRule type="expression" dxfId="40" priority="2150">
      <formula>$W17="YES"</formula>
    </cfRule>
  </conditionalFormatting>
  <dataValidations count="4">
    <dataValidation allowBlank="1" showInputMessage="1" showErrorMessage="1" prompt="Use MM/DD/YYYY format.  Leave blank until date is needed. " sqref="J16:J515" xr:uid="{00000000-0002-0000-0400-000000000000}"/>
    <dataValidation allowBlank="1" showInputMessage="1" showErrorMessage="1" prompt="will auto populate" sqref="W16:W515" xr:uid="{00000000-0002-0000-0400-000001000000}"/>
    <dataValidation allowBlank="1" showInputMessage="1" showErrorMessage="1" prompt="Note Section for Column H" sqref="I16:I515" xr:uid="{00000000-0002-0000-0400-000002000000}"/>
    <dataValidation allowBlank="1" showInputMessage="1" showErrorMessage="1" prompt="auto populates" sqref="B16:C515" xr:uid="{00000000-0002-0000-04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400-000004000000}">
          <x14:formula1>
            <xm:f>'drop down list '!$A$3:$A$4</xm:f>
          </x14:formula1>
          <xm:sqref>D16:G515 L16:L515 R16:R515</xm:sqref>
        </x14:dataValidation>
        <x14:dataValidation type="list" allowBlank="1" showInputMessage="1" showErrorMessage="1" xr:uid="{00000000-0002-0000-0400-000005000000}">
          <x14:formula1>
            <xm:f>'drop down list '!$C$2:$C$4</xm:f>
          </x14:formula1>
          <xm:sqref>H16:H515</xm:sqref>
        </x14:dataValidation>
        <x14:dataValidation type="list" allowBlank="1" showInputMessage="1" showErrorMessage="1" xr:uid="{00000000-0002-0000-0400-000006000000}">
          <x14:formula1>
            <xm:f>'drop down list '!$A$21:$A$23</xm:f>
          </x14:formula1>
          <xm:sqref>Q16:Q515</xm:sqref>
        </x14:dataValidation>
        <x14:dataValidation type="list" allowBlank="1" showInputMessage="1" showErrorMessage="1" xr:uid="{00000000-0002-0000-0400-000007000000}">
          <x14:formula1>
            <xm:f>'drop down list '!$G$24:$G$29</xm:f>
          </x14:formula1>
          <xm:sqref>U16:U515</xm:sqref>
        </x14:dataValidation>
        <x14:dataValidation type="list" allowBlank="1" showInputMessage="1" showErrorMessage="1" xr:uid="{00000000-0002-0000-0400-000008000000}">
          <x14:formula1>
            <xm:f>'drop down list '!$G$14:$G$18</xm:f>
          </x14:formula1>
          <xm:sqref>V16:V515</xm:sqref>
        </x14:dataValidation>
        <x14:dataValidation type="list" allowBlank="1" showInputMessage="1" showErrorMessage="1" xr:uid="{00000000-0002-0000-0400-000009000000}">
          <x14:formula1>
            <xm:f>'drop down list '!$N$12:$N$23</xm:f>
          </x14:formula1>
          <xm:sqref>E9:F9</xm:sqref>
        </x14:dataValidation>
        <x14:dataValidation type="list" allowBlank="1" showInputMessage="1" showErrorMessage="1" xr:uid="{00000000-0002-0000-0400-00000A000000}">
          <x14:formula1>
            <xm:f>'drop down list '!$P$15:$P$20</xm:f>
          </x14:formula1>
          <xm:sqref>G9:I9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Y514"/>
  <sheetViews>
    <sheetView topLeftCell="J1" zoomScale="110" zoomScaleNormal="110" workbookViewId="0">
      <pane ySplit="1" topLeftCell="A445" activePane="bottomLeft" state="frozen"/>
      <selection pane="bottomLeft" activeCell="U510" sqref="U510"/>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69</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44</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t="s">
        <v>0</v>
      </c>
      <c r="J15" s="143"/>
      <c r="K15" s="70"/>
      <c r="L15" s="52"/>
      <c r="M15" s="8"/>
      <c r="N15" s="7"/>
      <c r="O15" s="218">
        <f>K15*N15</f>
        <v>0</v>
      </c>
      <c r="P15" s="218">
        <f>O15+JULY!P16</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t="s">
        <v>0</v>
      </c>
      <c r="J16" s="144"/>
      <c r="K16" s="71"/>
      <c r="L16" s="53"/>
      <c r="M16" s="2"/>
      <c r="N16" s="1"/>
      <c r="O16" s="218">
        <f t="shared" ref="O16:O79" si="0">K16*N16</f>
        <v>0</v>
      </c>
      <c r="P16" s="218">
        <f>O16+JULY!P17</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t="s">
        <v>0</v>
      </c>
      <c r="J17" s="143"/>
      <c r="K17" s="70"/>
      <c r="L17" s="52"/>
      <c r="M17" s="8"/>
      <c r="N17" s="7"/>
      <c r="O17" s="218">
        <f t="shared" si="0"/>
        <v>0</v>
      </c>
      <c r="P17" s="218">
        <f>O17+JULY!P18</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t="s">
        <v>0</v>
      </c>
      <c r="J18" s="144"/>
      <c r="K18" s="71"/>
      <c r="L18" s="53"/>
      <c r="M18" s="2"/>
      <c r="N18" s="1"/>
      <c r="O18" s="218">
        <f t="shared" si="0"/>
        <v>0</v>
      </c>
      <c r="P18" s="218">
        <f>O18+JULY!P19</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t="s">
        <v>0</v>
      </c>
      <c r="J19" s="143"/>
      <c r="K19" s="70"/>
      <c r="L19" s="52"/>
      <c r="M19" s="8"/>
      <c r="N19" s="7"/>
      <c r="O19" s="218">
        <f t="shared" si="0"/>
        <v>0</v>
      </c>
      <c r="P19" s="218">
        <f>O19+JULY!P20</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t="s">
        <v>0</v>
      </c>
      <c r="J20" s="3"/>
      <c r="K20" s="71"/>
      <c r="L20" s="53"/>
      <c r="M20" s="2"/>
      <c r="N20" s="1"/>
      <c r="O20" s="218">
        <f t="shared" si="0"/>
        <v>0</v>
      </c>
      <c r="P20" s="218">
        <f>O20+JULY!P21</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t="s">
        <v>0</v>
      </c>
      <c r="J21" s="9"/>
      <c r="K21" s="70"/>
      <c r="L21" s="52"/>
      <c r="M21" s="8"/>
      <c r="N21" s="7"/>
      <c r="O21" s="218">
        <f t="shared" si="0"/>
        <v>0</v>
      </c>
      <c r="P21" s="218">
        <f>O21+JULY!P22</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t="s">
        <v>0</v>
      </c>
      <c r="J22" s="3"/>
      <c r="K22" s="71"/>
      <c r="L22" s="53"/>
      <c r="M22" s="2"/>
      <c r="N22" s="1"/>
      <c r="O22" s="218">
        <f t="shared" si="0"/>
        <v>0</v>
      </c>
      <c r="P22" s="218">
        <f>O22+JULY!P23</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t="s">
        <v>0</v>
      </c>
      <c r="J23" s="9"/>
      <c r="K23" s="70"/>
      <c r="L23" s="52"/>
      <c r="M23" s="8"/>
      <c r="N23" s="7"/>
      <c r="O23" s="218">
        <f t="shared" si="0"/>
        <v>0</v>
      </c>
      <c r="P23" s="218">
        <f>O23+JULY!P24</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t="s">
        <v>0</v>
      </c>
      <c r="J24" s="144"/>
      <c r="K24" s="71"/>
      <c r="L24" s="53"/>
      <c r="M24" s="2"/>
      <c r="N24" s="1"/>
      <c r="O24" s="218">
        <f t="shared" si="0"/>
        <v>0</v>
      </c>
      <c r="P24" s="218">
        <f>O24+JULY!P25</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t="s">
        <v>0</v>
      </c>
      <c r="J25" s="143"/>
      <c r="K25" s="70"/>
      <c r="L25" s="52"/>
      <c r="M25" s="8"/>
      <c r="N25" s="7"/>
      <c r="O25" s="218">
        <f t="shared" si="0"/>
        <v>0</v>
      </c>
      <c r="P25" s="218">
        <f>O25+JULY!P26</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t="s">
        <v>0</v>
      </c>
      <c r="J26" s="144"/>
      <c r="K26" s="71"/>
      <c r="L26" s="53"/>
      <c r="M26" s="2"/>
      <c r="N26" s="1"/>
      <c r="O26" s="218">
        <f t="shared" si="0"/>
        <v>0</v>
      </c>
      <c r="P26" s="218">
        <f>O26+JULY!P27</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t="s">
        <v>0</v>
      </c>
      <c r="J27" s="143"/>
      <c r="K27" s="70"/>
      <c r="L27" s="52"/>
      <c r="M27" s="8"/>
      <c r="N27" s="7"/>
      <c r="O27" s="218">
        <f t="shared" si="0"/>
        <v>0</v>
      </c>
      <c r="P27" s="218">
        <f>O27+JULY!P28</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t="s">
        <v>0</v>
      </c>
      <c r="J28" s="3"/>
      <c r="K28" s="71"/>
      <c r="L28" s="53"/>
      <c r="M28" s="2"/>
      <c r="N28" s="1"/>
      <c r="O28" s="218">
        <f t="shared" si="0"/>
        <v>0</v>
      </c>
      <c r="P28" s="218">
        <f>O28+JULY!P29</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t="s">
        <v>0</v>
      </c>
      <c r="J29" s="9"/>
      <c r="K29" s="70"/>
      <c r="L29" s="52"/>
      <c r="M29" s="8"/>
      <c r="N29" s="7"/>
      <c r="O29" s="218">
        <f t="shared" si="0"/>
        <v>0</v>
      </c>
      <c r="P29" s="218">
        <f>O29+JULY!P30</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t="s">
        <v>0</v>
      </c>
      <c r="J30" s="3"/>
      <c r="K30" s="71"/>
      <c r="L30" s="53"/>
      <c r="M30" s="2"/>
      <c r="N30" s="1"/>
      <c r="O30" s="218">
        <f t="shared" si="0"/>
        <v>0</v>
      </c>
      <c r="P30" s="218">
        <f>O30+JULY!P31</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t="s">
        <v>0</v>
      </c>
      <c r="J31" s="9"/>
      <c r="K31" s="70"/>
      <c r="L31" s="52"/>
      <c r="M31" s="8"/>
      <c r="N31" s="7"/>
      <c r="O31" s="218">
        <f t="shared" si="0"/>
        <v>0</v>
      </c>
      <c r="P31" s="218">
        <f>O31+JULY!P32</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t="s">
        <v>0</v>
      </c>
      <c r="J32" s="3"/>
      <c r="K32" s="71"/>
      <c r="L32" s="53"/>
      <c r="M32" s="2"/>
      <c r="N32" s="1"/>
      <c r="O32" s="218">
        <f t="shared" si="0"/>
        <v>0</v>
      </c>
      <c r="P32" s="218">
        <f>O32+JULY!P33</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t="s">
        <v>0</v>
      </c>
      <c r="J33" s="9"/>
      <c r="K33" s="70"/>
      <c r="L33" s="52"/>
      <c r="M33" s="8"/>
      <c r="N33" s="7"/>
      <c r="O33" s="218">
        <f t="shared" si="0"/>
        <v>0</v>
      </c>
      <c r="P33" s="218">
        <f>O33+JULY!P34</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t="s">
        <v>0</v>
      </c>
      <c r="J34" s="3"/>
      <c r="K34" s="71"/>
      <c r="L34" s="53"/>
      <c r="M34" s="2"/>
      <c r="N34" s="1"/>
      <c r="O34" s="218">
        <f t="shared" si="0"/>
        <v>0</v>
      </c>
      <c r="P34" s="218">
        <f>O34+JULY!P35</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t="s">
        <v>0</v>
      </c>
      <c r="J35" s="9"/>
      <c r="K35" s="70"/>
      <c r="L35" s="52"/>
      <c r="M35" s="8"/>
      <c r="N35" s="7"/>
      <c r="O35" s="218">
        <f t="shared" si="0"/>
        <v>0</v>
      </c>
      <c r="P35" s="218">
        <f>O35+JULY!P36</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t="s">
        <v>0</v>
      </c>
      <c r="J36" s="3"/>
      <c r="K36" s="71"/>
      <c r="L36" s="53"/>
      <c r="M36" s="2"/>
      <c r="N36" s="1"/>
      <c r="O36" s="218">
        <f t="shared" si="0"/>
        <v>0</v>
      </c>
      <c r="P36" s="218">
        <f>O36+JULY!P37</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t="s">
        <v>0</v>
      </c>
      <c r="J37" s="9"/>
      <c r="K37" s="70"/>
      <c r="L37" s="52"/>
      <c r="M37" s="8"/>
      <c r="N37" s="7"/>
      <c r="O37" s="218">
        <f t="shared" si="0"/>
        <v>0</v>
      </c>
      <c r="P37" s="218">
        <f>O37+JULY!P38</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t="s">
        <v>0</v>
      </c>
      <c r="J38" s="3"/>
      <c r="K38" s="71"/>
      <c r="L38" s="53"/>
      <c r="M38" s="2"/>
      <c r="N38" s="1"/>
      <c r="O38" s="218">
        <f t="shared" si="0"/>
        <v>0</v>
      </c>
      <c r="P38" s="218">
        <f>O38+JULY!P39</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t="s">
        <v>0</v>
      </c>
      <c r="J39" s="9"/>
      <c r="K39" s="70"/>
      <c r="L39" s="52"/>
      <c r="M39" s="8"/>
      <c r="N39" s="7"/>
      <c r="O39" s="218">
        <f t="shared" si="0"/>
        <v>0</v>
      </c>
      <c r="P39" s="218">
        <f>O39+JULY!P40</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t="s">
        <v>0</v>
      </c>
      <c r="J40" s="3"/>
      <c r="K40" s="71"/>
      <c r="L40" s="53"/>
      <c r="M40" s="2"/>
      <c r="N40" s="1"/>
      <c r="O40" s="218">
        <f t="shared" si="0"/>
        <v>0</v>
      </c>
      <c r="P40" s="218">
        <f>O40+JULY!P41</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t="s">
        <v>0</v>
      </c>
      <c r="J41" s="9"/>
      <c r="K41" s="70"/>
      <c r="L41" s="52"/>
      <c r="M41" s="8"/>
      <c r="N41" s="7"/>
      <c r="O41" s="218">
        <f t="shared" si="0"/>
        <v>0</v>
      </c>
      <c r="P41" s="218">
        <f>O41+JULY!P42</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t="s">
        <v>0</v>
      </c>
      <c r="J42" s="3"/>
      <c r="K42" s="71"/>
      <c r="L42" s="53"/>
      <c r="M42" s="2"/>
      <c r="N42" s="1"/>
      <c r="O42" s="218">
        <f t="shared" si="0"/>
        <v>0</v>
      </c>
      <c r="P42" s="218">
        <f>O42+JULY!P43</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t="s">
        <v>0</v>
      </c>
      <c r="J43" s="9"/>
      <c r="K43" s="70"/>
      <c r="L43" s="52"/>
      <c r="M43" s="8"/>
      <c r="N43" s="7"/>
      <c r="O43" s="218">
        <f t="shared" si="0"/>
        <v>0</v>
      </c>
      <c r="P43" s="218">
        <f>O43+JULY!P44</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t="s">
        <v>0</v>
      </c>
      <c r="J44" s="3"/>
      <c r="K44" s="71"/>
      <c r="L44" s="53"/>
      <c r="M44" s="2"/>
      <c r="N44" s="1"/>
      <c r="O44" s="218">
        <f t="shared" si="0"/>
        <v>0</v>
      </c>
      <c r="P44" s="218">
        <f>O44+JULY!P45</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O45+JULY!P46</f>
        <v>0</v>
      </c>
      <c r="Q45" s="59"/>
      <c r="R45" s="51"/>
      <c r="S45" s="65"/>
      <c r="T45" s="64"/>
      <c r="U45" s="67"/>
      <c r="V45" s="74"/>
      <c r="W45" s="6">
        <f>'CLIENT ENROLLMENT DISCHARGE '!M45</f>
        <v>0</v>
      </c>
      <c r="X45" s="76">
        <f>'CLIENT ENROLLMENT DISCHARGE '!L45</f>
        <v>0</v>
      </c>
      <c r="Y45" s="180" t="s">
        <v>0</v>
      </c>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O46+JULY!P47</f>
        <v>0</v>
      </c>
      <c r="Q46" s="60"/>
      <c r="R46" s="52"/>
      <c r="S46" s="66"/>
      <c r="T46" s="65"/>
      <c r="U46" s="68"/>
      <c r="V46" s="59"/>
      <c r="W46" s="6">
        <f>'CLIENT ENROLLMENT DISCHARGE '!M46</f>
        <v>0</v>
      </c>
      <c r="X46" s="76">
        <f>'CLIENT ENROLLMENT DISCHARGE '!L46</f>
        <v>0</v>
      </c>
      <c r="Y46" s="180" t="s">
        <v>0</v>
      </c>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O47+JULY!P48</f>
        <v>0</v>
      </c>
      <c r="Q47" s="59"/>
      <c r="R47" s="51"/>
      <c r="S47" s="65"/>
      <c r="T47" s="64"/>
      <c r="U47" s="67"/>
      <c r="V47" s="74"/>
      <c r="W47" s="6">
        <f>'CLIENT ENROLLMENT DISCHARGE '!M47</f>
        <v>0</v>
      </c>
      <c r="X47" s="76">
        <f>'CLIENT ENROLLMENT DISCHARGE '!L47</f>
        <v>0</v>
      </c>
      <c r="Y47" s="180" t="s">
        <v>0</v>
      </c>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O48+JULY!P49</f>
        <v>0</v>
      </c>
      <c r="Q48" s="60"/>
      <c r="R48" s="52"/>
      <c r="S48" s="66"/>
      <c r="T48" s="65"/>
      <c r="U48" s="68"/>
      <c r="V48" s="59"/>
      <c r="W48" s="6">
        <f>'CLIENT ENROLLMENT DISCHARGE '!M48</f>
        <v>0</v>
      </c>
      <c r="X48" s="76">
        <f>'CLIENT ENROLLMENT DISCHARGE '!L48</f>
        <v>0</v>
      </c>
      <c r="Y48" s="180" t="s">
        <v>0</v>
      </c>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O49+JULY!P50</f>
        <v>0</v>
      </c>
      <c r="Q49" s="59"/>
      <c r="R49" s="51"/>
      <c r="S49" s="65"/>
      <c r="T49" s="64"/>
      <c r="U49" s="67"/>
      <c r="V49" s="74"/>
      <c r="W49" s="6">
        <f>'CLIENT ENROLLMENT DISCHARGE '!M49</f>
        <v>0</v>
      </c>
      <c r="X49" s="76">
        <f>'CLIENT ENROLLMENT DISCHARGE '!L49</f>
        <v>0</v>
      </c>
      <c r="Y49" s="180" t="s">
        <v>0</v>
      </c>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O50+JULY!P51</f>
        <v>0</v>
      </c>
      <c r="Q50" s="60"/>
      <c r="R50" s="52"/>
      <c r="S50" s="66"/>
      <c r="T50" s="65"/>
      <c r="U50" s="68"/>
      <c r="V50" s="75"/>
      <c r="W50" s="6">
        <f>'CLIENT ENROLLMENT DISCHARGE '!M50</f>
        <v>0</v>
      </c>
      <c r="X50" s="76">
        <f>'CLIENT ENROLLMENT DISCHARGE '!L50</f>
        <v>0</v>
      </c>
      <c r="Y50" s="180" t="s">
        <v>0</v>
      </c>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O51+JULY!P52</f>
        <v>0</v>
      </c>
      <c r="Q51" s="59"/>
      <c r="R51" s="51"/>
      <c r="S51" s="65"/>
      <c r="T51" s="64"/>
      <c r="U51" s="67"/>
      <c r="V51" s="74"/>
      <c r="W51" s="6">
        <f>'CLIENT ENROLLMENT DISCHARGE '!M51</f>
        <v>0</v>
      </c>
      <c r="X51" s="76">
        <f>'CLIENT ENROLLMENT DISCHARGE '!L51</f>
        <v>0</v>
      </c>
      <c r="Y51" s="180" t="s">
        <v>0</v>
      </c>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O52+JULY!P53</f>
        <v>0</v>
      </c>
      <c r="Q52" s="60"/>
      <c r="R52" s="52"/>
      <c r="S52" s="66"/>
      <c r="T52" s="65"/>
      <c r="U52" s="68"/>
      <c r="V52" s="59"/>
      <c r="W52" s="6">
        <f>'CLIENT ENROLLMENT DISCHARGE '!M52</f>
        <v>0</v>
      </c>
      <c r="X52" s="76">
        <f>'CLIENT ENROLLMENT DISCHARGE '!L52</f>
        <v>0</v>
      </c>
      <c r="Y52" s="180" t="s">
        <v>0</v>
      </c>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O53+JULY!P54</f>
        <v>0</v>
      </c>
      <c r="Q53" s="59"/>
      <c r="R53" s="51"/>
      <c r="S53" s="65"/>
      <c r="T53" s="64"/>
      <c r="U53" s="67"/>
      <c r="V53" s="74"/>
      <c r="W53" s="6">
        <f>'CLIENT ENROLLMENT DISCHARGE '!M53</f>
        <v>0</v>
      </c>
      <c r="X53" s="76">
        <f>'CLIENT ENROLLMENT DISCHARGE '!L53</f>
        <v>0</v>
      </c>
      <c r="Y53" s="180" t="s">
        <v>0</v>
      </c>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O54+JULY!P55</f>
        <v>0</v>
      </c>
      <c r="Q54" s="60"/>
      <c r="R54" s="52"/>
      <c r="S54" s="66"/>
      <c r="T54" s="65"/>
      <c r="U54" s="68"/>
      <c r="V54" s="59"/>
      <c r="W54" s="6">
        <f>'CLIENT ENROLLMENT DISCHARGE '!M54</f>
        <v>0</v>
      </c>
      <c r="X54" s="76">
        <f>'CLIENT ENROLLMENT DISCHARGE '!L54</f>
        <v>0</v>
      </c>
      <c r="Y54" s="180" t="s">
        <v>0</v>
      </c>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O55+JULY!P56</f>
        <v>0</v>
      </c>
      <c r="Q55" s="59"/>
      <c r="R55" s="51"/>
      <c r="S55" s="65"/>
      <c r="T55" s="64"/>
      <c r="U55" s="67"/>
      <c r="V55" s="74"/>
      <c r="W55" s="6">
        <f>'CLIENT ENROLLMENT DISCHARGE '!M55</f>
        <v>0</v>
      </c>
      <c r="X55" s="76">
        <f>'CLIENT ENROLLMENT DISCHARGE '!L55</f>
        <v>0</v>
      </c>
      <c r="Y55" s="180" t="s">
        <v>0</v>
      </c>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O56+JULY!P57</f>
        <v>0</v>
      </c>
      <c r="Q56" s="60"/>
      <c r="R56" s="52"/>
      <c r="S56" s="66"/>
      <c r="T56" s="65"/>
      <c r="U56" s="68"/>
      <c r="V56" s="59"/>
      <c r="W56" s="6">
        <f>'CLIENT ENROLLMENT DISCHARGE '!M56</f>
        <v>0</v>
      </c>
      <c r="X56" s="76">
        <f>'CLIENT ENROLLMENT DISCHARGE '!L56</f>
        <v>0</v>
      </c>
      <c r="Y56" s="180" t="s">
        <v>0</v>
      </c>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O57+JULY!P58</f>
        <v>0</v>
      </c>
      <c r="Q57" s="59"/>
      <c r="R57" s="51"/>
      <c r="S57" s="65"/>
      <c r="T57" s="64"/>
      <c r="U57" s="67"/>
      <c r="V57" s="74"/>
      <c r="W57" s="6">
        <f>'CLIENT ENROLLMENT DISCHARGE '!M57</f>
        <v>0</v>
      </c>
      <c r="X57" s="76">
        <f>'CLIENT ENROLLMENT DISCHARGE '!L57</f>
        <v>0</v>
      </c>
      <c r="Y57" s="180" t="s">
        <v>0</v>
      </c>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O58+JULY!P59</f>
        <v>0</v>
      </c>
      <c r="Q58" s="60"/>
      <c r="R58" s="52"/>
      <c r="S58" s="66"/>
      <c r="T58" s="65"/>
      <c r="U58" s="68"/>
      <c r="V58" s="59"/>
      <c r="W58" s="6">
        <f>'CLIENT ENROLLMENT DISCHARGE '!M58</f>
        <v>0</v>
      </c>
      <c r="X58" s="76">
        <f>'CLIENT ENROLLMENT DISCHARGE '!L58</f>
        <v>0</v>
      </c>
      <c r="Y58" s="180" t="s">
        <v>0</v>
      </c>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O59+JULY!P60</f>
        <v>0</v>
      </c>
      <c r="Q59" s="59"/>
      <c r="R59" s="51"/>
      <c r="S59" s="65"/>
      <c r="T59" s="64"/>
      <c r="U59" s="67"/>
      <c r="V59" s="74"/>
      <c r="W59" s="6">
        <f>'CLIENT ENROLLMENT DISCHARGE '!M59</f>
        <v>0</v>
      </c>
      <c r="X59" s="76">
        <f>'CLIENT ENROLLMENT DISCHARGE '!L59</f>
        <v>0</v>
      </c>
      <c r="Y59" s="180" t="s">
        <v>0</v>
      </c>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O60+JULY!P61</f>
        <v>0</v>
      </c>
      <c r="Q60" s="60"/>
      <c r="R60" s="52"/>
      <c r="S60" s="66"/>
      <c r="T60" s="65"/>
      <c r="U60" s="68"/>
      <c r="V60" s="75"/>
      <c r="W60" s="6">
        <f>'CLIENT ENROLLMENT DISCHARGE '!M60</f>
        <v>0</v>
      </c>
      <c r="X60" s="76">
        <f>'CLIENT ENROLLMENT DISCHARGE '!L60</f>
        <v>0</v>
      </c>
      <c r="Y60" s="180" t="s">
        <v>0</v>
      </c>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O61+JULY!P62</f>
        <v>0</v>
      </c>
      <c r="Q61" s="59"/>
      <c r="R61" s="51"/>
      <c r="S61" s="65"/>
      <c r="T61" s="64"/>
      <c r="U61" s="67"/>
      <c r="V61" s="74"/>
      <c r="W61" s="6">
        <f>'CLIENT ENROLLMENT DISCHARGE '!M61</f>
        <v>0</v>
      </c>
      <c r="X61" s="76">
        <f>'CLIENT ENROLLMENT DISCHARGE '!L61</f>
        <v>0</v>
      </c>
      <c r="Y61" s="180" t="s">
        <v>0</v>
      </c>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O62+JULY!P63</f>
        <v>0</v>
      </c>
      <c r="Q62" s="60"/>
      <c r="R62" s="52"/>
      <c r="S62" s="66"/>
      <c r="T62" s="65"/>
      <c r="U62" s="68"/>
      <c r="V62" s="59"/>
      <c r="W62" s="6">
        <f>'CLIENT ENROLLMENT DISCHARGE '!M62</f>
        <v>0</v>
      </c>
      <c r="X62" s="76">
        <f>'CLIENT ENROLLMENT DISCHARGE '!L62</f>
        <v>0</v>
      </c>
      <c r="Y62" s="180" t="s">
        <v>0</v>
      </c>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O63+JULY!P64</f>
        <v>0</v>
      </c>
      <c r="Q63" s="59"/>
      <c r="R63" s="51"/>
      <c r="S63" s="65"/>
      <c r="T63" s="64"/>
      <c r="U63" s="67"/>
      <c r="V63" s="74"/>
      <c r="W63" s="6">
        <f>'CLIENT ENROLLMENT DISCHARGE '!M63</f>
        <v>0</v>
      </c>
      <c r="X63" s="76">
        <f>'CLIENT ENROLLMENT DISCHARGE '!L63</f>
        <v>0</v>
      </c>
      <c r="Y63" s="180" t="s">
        <v>0</v>
      </c>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O64+JULY!P65</f>
        <v>0</v>
      </c>
      <c r="Q64" s="60"/>
      <c r="R64" s="52"/>
      <c r="S64" s="66"/>
      <c r="T64" s="65"/>
      <c r="U64" s="68"/>
      <c r="V64" s="59"/>
      <c r="W64" s="6">
        <f>'CLIENT ENROLLMENT DISCHARGE '!M64</f>
        <v>0</v>
      </c>
      <c r="X64" s="76">
        <f>'CLIENT ENROLLMENT DISCHARGE '!L64</f>
        <v>0</v>
      </c>
      <c r="Y64" s="180" t="s">
        <v>0</v>
      </c>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O65+JULY!P66</f>
        <v>0</v>
      </c>
      <c r="Q65" s="59"/>
      <c r="R65" s="51"/>
      <c r="S65" s="65"/>
      <c r="T65" s="64"/>
      <c r="U65" s="67"/>
      <c r="V65" s="74"/>
      <c r="W65" s="6">
        <f>'CLIENT ENROLLMENT DISCHARGE '!M65</f>
        <v>0</v>
      </c>
      <c r="X65" s="76">
        <f>'CLIENT ENROLLMENT DISCHARGE '!L65</f>
        <v>0</v>
      </c>
      <c r="Y65" s="180" t="s">
        <v>0</v>
      </c>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O66+JULY!P67</f>
        <v>0</v>
      </c>
      <c r="Q66" s="60"/>
      <c r="R66" s="52"/>
      <c r="S66" s="66"/>
      <c r="T66" s="65"/>
      <c r="U66" s="68"/>
      <c r="V66" s="59"/>
      <c r="W66" s="6">
        <f>'CLIENT ENROLLMENT DISCHARGE '!M66</f>
        <v>0</v>
      </c>
      <c r="X66" s="76">
        <f>'CLIENT ENROLLMENT DISCHARGE '!L66</f>
        <v>0</v>
      </c>
      <c r="Y66" s="180" t="s">
        <v>0</v>
      </c>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O67+JULY!P68</f>
        <v>0</v>
      </c>
      <c r="Q67" s="59"/>
      <c r="R67" s="51"/>
      <c r="S67" s="65"/>
      <c r="T67" s="64"/>
      <c r="U67" s="67"/>
      <c r="V67" s="74"/>
      <c r="W67" s="6">
        <f>'CLIENT ENROLLMENT DISCHARGE '!M67</f>
        <v>0</v>
      </c>
      <c r="X67" s="76">
        <f>'CLIENT ENROLLMENT DISCHARGE '!L67</f>
        <v>0</v>
      </c>
      <c r="Y67" s="180" t="s">
        <v>0</v>
      </c>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O68+JULY!P69</f>
        <v>0</v>
      </c>
      <c r="Q68" s="60"/>
      <c r="R68" s="52"/>
      <c r="S68" s="66"/>
      <c r="T68" s="65"/>
      <c r="U68" s="68"/>
      <c r="V68" s="59"/>
      <c r="W68" s="6">
        <f>'CLIENT ENROLLMENT DISCHARGE '!M68</f>
        <v>0</v>
      </c>
      <c r="X68" s="76">
        <f>'CLIENT ENROLLMENT DISCHARGE '!L68</f>
        <v>0</v>
      </c>
      <c r="Y68" s="180" t="s">
        <v>0</v>
      </c>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O69+JULY!P70</f>
        <v>0</v>
      </c>
      <c r="Q69" s="59"/>
      <c r="R69" s="51"/>
      <c r="S69" s="65"/>
      <c r="T69" s="64"/>
      <c r="U69" s="67"/>
      <c r="V69" s="74"/>
      <c r="W69" s="6">
        <f>'CLIENT ENROLLMENT DISCHARGE '!M69</f>
        <v>0</v>
      </c>
      <c r="X69" s="76">
        <f>'CLIENT ENROLLMENT DISCHARGE '!L69</f>
        <v>0</v>
      </c>
      <c r="Y69" s="180" t="s">
        <v>0</v>
      </c>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O70+JULY!P71</f>
        <v>0</v>
      </c>
      <c r="Q70" s="60"/>
      <c r="R70" s="52"/>
      <c r="S70" s="66"/>
      <c r="T70" s="65"/>
      <c r="U70" s="68"/>
      <c r="V70" s="75"/>
      <c r="W70" s="6">
        <f>'CLIENT ENROLLMENT DISCHARGE '!M70</f>
        <v>0</v>
      </c>
      <c r="X70" s="76">
        <f>'CLIENT ENROLLMENT DISCHARGE '!L70</f>
        <v>0</v>
      </c>
      <c r="Y70" s="180" t="s">
        <v>0</v>
      </c>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O71+JULY!P72</f>
        <v>0</v>
      </c>
      <c r="Q71" s="59"/>
      <c r="R71" s="51"/>
      <c r="S71" s="65"/>
      <c r="T71" s="64"/>
      <c r="U71" s="67"/>
      <c r="V71" s="74"/>
      <c r="W71" s="6">
        <f>'CLIENT ENROLLMENT DISCHARGE '!M71</f>
        <v>0</v>
      </c>
      <c r="X71" s="76">
        <f>'CLIENT ENROLLMENT DISCHARGE '!L71</f>
        <v>0</v>
      </c>
      <c r="Y71" s="180" t="s">
        <v>0</v>
      </c>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O72+JULY!P73</f>
        <v>0</v>
      </c>
      <c r="Q72" s="60"/>
      <c r="R72" s="52"/>
      <c r="S72" s="66"/>
      <c r="T72" s="65"/>
      <c r="U72" s="68"/>
      <c r="V72" s="59"/>
      <c r="W72" s="6">
        <f>'CLIENT ENROLLMENT DISCHARGE '!M72</f>
        <v>0</v>
      </c>
      <c r="X72" s="76">
        <f>'CLIENT ENROLLMENT DISCHARGE '!L72</f>
        <v>0</v>
      </c>
      <c r="Y72" s="180" t="s">
        <v>0</v>
      </c>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O73+JULY!P74</f>
        <v>0</v>
      </c>
      <c r="Q73" s="59"/>
      <c r="R73" s="51"/>
      <c r="S73" s="65"/>
      <c r="T73" s="64"/>
      <c r="U73" s="67"/>
      <c r="V73" s="74"/>
      <c r="W73" s="6">
        <f>'CLIENT ENROLLMENT DISCHARGE '!M73</f>
        <v>0</v>
      </c>
      <c r="X73" s="76">
        <f>'CLIENT ENROLLMENT DISCHARGE '!L73</f>
        <v>0</v>
      </c>
      <c r="Y73" s="180" t="s">
        <v>0</v>
      </c>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O74+JULY!P75</f>
        <v>0</v>
      </c>
      <c r="Q74" s="60"/>
      <c r="R74" s="52"/>
      <c r="S74" s="66"/>
      <c r="T74" s="65"/>
      <c r="U74" s="68"/>
      <c r="V74" s="59"/>
      <c r="W74" s="6">
        <f>'CLIENT ENROLLMENT DISCHARGE '!M74</f>
        <v>0</v>
      </c>
      <c r="X74" s="76">
        <f>'CLIENT ENROLLMENT DISCHARGE '!L74</f>
        <v>0</v>
      </c>
      <c r="Y74" s="180" t="s">
        <v>0</v>
      </c>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O75+JULY!P76</f>
        <v>0</v>
      </c>
      <c r="Q75" s="59"/>
      <c r="R75" s="51"/>
      <c r="S75" s="65"/>
      <c r="T75" s="64"/>
      <c r="U75" s="67"/>
      <c r="V75" s="74"/>
      <c r="W75" s="6">
        <f>'CLIENT ENROLLMENT DISCHARGE '!M75</f>
        <v>0</v>
      </c>
      <c r="X75" s="76">
        <f>'CLIENT ENROLLMENT DISCHARGE '!L75</f>
        <v>0</v>
      </c>
      <c r="Y75" s="180" t="s">
        <v>0</v>
      </c>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O76+JULY!P77</f>
        <v>0</v>
      </c>
      <c r="Q76" s="60"/>
      <c r="R76" s="52"/>
      <c r="S76" s="66"/>
      <c r="T76" s="65"/>
      <c r="U76" s="68"/>
      <c r="V76" s="59"/>
      <c r="W76" s="6">
        <f>'CLIENT ENROLLMENT DISCHARGE '!M76</f>
        <v>0</v>
      </c>
      <c r="X76" s="76">
        <f>'CLIENT ENROLLMENT DISCHARGE '!L76</f>
        <v>0</v>
      </c>
      <c r="Y76" s="180" t="s">
        <v>0</v>
      </c>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O77+JULY!P78</f>
        <v>0</v>
      </c>
      <c r="Q77" s="59"/>
      <c r="R77" s="51"/>
      <c r="S77" s="65"/>
      <c r="T77" s="64"/>
      <c r="U77" s="67"/>
      <c r="V77" s="74"/>
      <c r="W77" s="6">
        <f>'CLIENT ENROLLMENT DISCHARGE '!M77</f>
        <v>0</v>
      </c>
      <c r="X77" s="76">
        <f>'CLIENT ENROLLMENT DISCHARGE '!L77</f>
        <v>0</v>
      </c>
      <c r="Y77" s="180" t="s">
        <v>0</v>
      </c>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O78+JULY!P79</f>
        <v>0</v>
      </c>
      <c r="Q78" s="60"/>
      <c r="R78" s="52"/>
      <c r="S78" s="66"/>
      <c r="T78" s="65"/>
      <c r="U78" s="68"/>
      <c r="V78" s="59"/>
      <c r="W78" s="6">
        <f>'CLIENT ENROLLMENT DISCHARGE '!M78</f>
        <v>0</v>
      </c>
      <c r="X78" s="76">
        <f>'CLIENT ENROLLMENT DISCHARGE '!L78</f>
        <v>0</v>
      </c>
      <c r="Y78" s="180" t="s">
        <v>0</v>
      </c>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O79+JULY!P80</f>
        <v>0</v>
      </c>
      <c r="Q79" s="59"/>
      <c r="R79" s="51"/>
      <c r="S79" s="65"/>
      <c r="T79" s="64"/>
      <c r="U79" s="67"/>
      <c r="V79" s="74"/>
      <c r="W79" s="6">
        <f>'CLIENT ENROLLMENT DISCHARGE '!M79</f>
        <v>0</v>
      </c>
      <c r="X79" s="76">
        <f>'CLIENT ENROLLMENT DISCHARGE '!L79</f>
        <v>0</v>
      </c>
      <c r="Y79" s="180" t="s">
        <v>0</v>
      </c>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O80+JULY!P81</f>
        <v>0</v>
      </c>
      <c r="Q80" s="60"/>
      <c r="R80" s="52"/>
      <c r="S80" s="66"/>
      <c r="T80" s="65"/>
      <c r="U80" s="68"/>
      <c r="V80" s="75"/>
      <c r="W80" s="6">
        <f>'CLIENT ENROLLMENT DISCHARGE '!M80</f>
        <v>0</v>
      </c>
      <c r="X80" s="76">
        <f>'CLIENT ENROLLMENT DISCHARGE '!L80</f>
        <v>0</v>
      </c>
      <c r="Y80" s="180" t="s">
        <v>0</v>
      </c>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O81+JULY!P82</f>
        <v>0</v>
      </c>
      <c r="Q81" s="59"/>
      <c r="R81" s="51"/>
      <c r="S81" s="65"/>
      <c r="T81" s="64"/>
      <c r="U81" s="67"/>
      <c r="V81" s="74"/>
      <c r="W81" s="6">
        <f>'CLIENT ENROLLMENT DISCHARGE '!M81</f>
        <v>0</v>
      </c>
      <c r="X81" s="76">
        <f>'CLIENT ENROLLMENT DISCHARGE '!L81</f>
        <v>0</v>
      </c>
      <c r="Y81" s="180" t="s">
        <v>0</v>
      </c>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O82+JULY!P83</f>
        <v>0</v>
      </c>
      <c r="Q82" s="60"/>
      <c r="R82" s="52"/>
      <c r="S82" s="66"/>
      <c r="T82" s="65"/>
      <c r="U82" s="68"/>
      <c r="V82" s="59"/>
      <c r="W82" s="6">
        <f>'CLIENT ENROLLMENT DISCHARGE '!M82</f>
        <v>0</v>
      </c>
      <c r="X82" s="76">
        <f>'CLIENT ENROLLMENT DISCHARGE '!L82</f>
        <v>0</v>
      </c>
      <c r="Y82" s="180" t="s">
        <v>0</v>
      </c>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O83+JULY!P84</f>
        <v>0</v>
      </c>
      <c r="Q83" s="59"/>
      <c r="R83" s="51"/>
      <c r="S83" s="65"/>
      <c r="T83" s="64"/>
      <c r="U83" s="67"/>
      <c r="V83" s="74"/>
      <c r="W83" s="6">
        <f>'CLIENT ENROLLMENT DISCHARGE '!M83</f>
        <v>0</v>
      </c>
      <c r="X83" s="76">
        <f>'CLIENT ENROLLMENT DISCHARGE '!L83</f>
        <v>0</v>
      </c>
      <c r="Y83" s="180" t="s">
        <v>0</v>
      </c>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O84+JULY!P85</f>
        <v>0</v>
      </c>
      <c r="Q84" s="60"/>
      <c r="R84" s="52"/>
      <c r="S84" s="66"/>
      <c r="T84" s="65"/>
      <c r="U84" s="68"/>
      <c r="V84" s="59"/>
      <c r="W84" s="6">
        <f>'CLIENT ENROLLMENT DISCHARGE '!M84</f>
        <v>0</v>
      </c>
      <c r="X84" s="76">
        <f>'CLIENT ENROLLMENT DISCHARGE '!L84</f>
        <v>0</v>
      </c>
      <c r="Y84" s="180" t="s">
        <v>0</v>
      </c>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O85+JULY!P86</f>
        <v>0</v>
      </c>
      <c r="Q85" s="59"/>
      <c r="R85" s="51"/>
      <c r="S85" s="65"/>
      <c r="T85" s="64"/>
      <c r="U85" s="67"/>
      <c r="V85" s="74"/>
      <c r="W85" s="6">
        <f>'CLIENT ENROLLMENT DISCHARGE '!M85</f>
        <v>0</v>
      </c>
      <c r="X85" s="76">
        <f>'CLIENT ENROLLMENT DISCHARGE '!L85</f>
        <v>0</v>
      </c>
      <c r="Y85" s="180" t="s">
        <v>0</v>
      </c>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O86+JULY!P87</f>
        <v>0</v>
      </c>
      <c r="Q86" s="60"/>
      <c r="R86" s="52"/>
      <c r="S86" s="66"/>
      <c r="T86" s="65"/>
      <c r="U86" s="68"/>
      <c r="V86" s="59"/>
      <c r="W86" s="6">
        <f>'CLIENT ENROLLMENT DISCHARGE '!M86</f>
        <v>0</v>
      </c>
      <c r="X86" s="76">
        <f>'CLIENT ENROLLMENT DISCHARGE '!L86</f>
        <v>0</v>
      </c>
      <c r="Y86" s="180" t="s">
        <v>0</v>
      </c>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O87+JULY!P88</f>
        <v>0</v>
      </c>
      <c r="Q87" s="59"/>
      <c r="R87" s="51"/>
      <c r="S87" s="65"/>
      <c r="T87" s="64"/>
      <c r="U87" s="67"/>
      <c r="V87" s="74"/>
      <c r="W87" s="6">
        <f>'CLIENT ENROLLMENT DISCHARGE '!M87</f>
        <v>0</v>
      </c>
      <c r="X87" s="76">
        <f>'CLIENT ENROLLMENT DISCHARGE '!L87</f>
        <v>0</v>
      </c>
      <c r="Y87" s="180" t="s">
        <v>0</v>
      </c>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O88+JULY!P89</f>
        <v>0</v>
      </c>
      <c r="Q88" s="60"/>
      <c r="R88" s="52"/>
      <c r="S88" s="66"/>
      <c r="T88" s="65"/>
      <c r="U88" s="68"/>
      <c r="V88" s="59"/>
      <c r="W88" s="6">
        <f>'CLIENT ENROLLMENT DISCHARGE '!M88</f>
        <v>0</v>
      </c>
      <c r="X88" s="76">
        <f>'CLIENT ENROLLMENT DISCHARGE '!L88</f>
        <v>0</v>
      </c>
      <c r="Y88" s="180" t="s">
        <v>0</v>
      </c>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O89+JULY!P90</f>
        <v>0</v>
      </c>
      <c r="Q89" s="59"/>
      <c r="R89" s="51"/>
      <c r="S89" s="65"/>
      <c r="T89" s="64"/>
      <c r="U89" s="67"/>
      <c r="V89" s="74"/>
      <c r="W89" s="6">
        <f>'CLIENT ENROLLMENT DISCHARGE '!M89</f>
        <v>0</v>
      </c>
      <c r="X89" s="76">
        <f>'CLIENT ENROLLMENT DISCHARGE '!L89</f>
        <v>0</v>
      </c>
      <c r="Y89" s="180" t="s">
        <v>0</v>
      </c>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O90+JULY!P91</f>
        <v>0</v>
      </c>
      <c r="Q90" s="60"/>
      <c r="R90" s="52"/>
      <c r="S90" s="66"/>
      <c r="T90" s="65"/>
      <c r="U90" s="68"/>
      <c r="V90" s="75"/>
      <c r="W90" s="6">
        <f>'CLIENT ENROLLMENT DISCHARGE '!M90</f>
        <v>0</v>
      </c>
      <c r="X90" s="76">
        <f>'CLIENT ENROLLMENT DISCHARGE '!L90</f>
        <v>0</v>
      </c>
      <c r="Y90" s="180" t="s">
        <v>0</v>
      </c>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O91+JULY!P92</f>
        <v>0</v>
      </c>
      <c r="Q91" s="59"/>
      <c r="R91" s="51"/>
      <c r="S91" s="65"/>
      <c r="T91" s="64"/>
      <c r="U91" s="67"/>
      <c r="V91" s="74"/>
      <c r="W91" s="6">
        <f>'CLIENT ENROLLMENT DISCHARGE '!M91</f>
        <v>0</v>
      </c>
      <c r="X91" s="76">
        <f>'CLIENT ENROLLMENT DISCHARGE '!L91</f>
        <v>0</v>
      </c>
      <c r="Y91" s="180" t="s">
        <v>0</v>
      </c>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O92+JULY!P93</f>
        <v>0</v>
      </c>
      <c r="Q92" s="60"/>
      <c r="R92" s="52"/>
      <c r="S92" s="66"/>
      <c r="T92" s="65"/>
      <c r="U92" s="68"/>
      <c r="V92" s="59"/>
      <c r="W92" s="6">
        <f>'CLIENT ENROLLMENT DISCHARGE '!M92</f>
        <v>0</v>
      </c>
      <c r="X92" s="76">
        <f>'CLIENT ENROLLMENT DISCHARGE '!L92</f>
        <v>0</v>
      </c>
      <c r="Y92" s="180" t="s">
        <v>0</v>
      </c>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O93+JULY!P94</f>
        <v>0</v>
      </c>
      <c r="Q93" s="59"/>
      <c r="R93" s="51"/>
      <c r="S93" s="65"/>
      <c r="T93" s="64"/>
      <c r="U93" s="67"/>
      <c r="V93" s="74"/>
      <c r="W93" s="6">
        <f>'CLIENT ENROLLMENT DISCHARGE '!M93</f>
        <v>0</v>
      </c>
      <c r="X93" s="76">
        <f>'CLIENT ENROLLMENT DISCHARGE '!L93</f>
        <v>0</v>
      </c>
      <c r="Y93" s="180" t="s">
        <v>0</v>
      </c>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O94+JULY!P95</f>
        <v>0</v>
      </c>
      <c r="Q94" s="60"/>
      <c r="R94" s="52"/>
      <c r="S94" s="66"/>
      <c r="T94" s="65"/>
      <c r="U94" s="68"/>
      <c r="V94" s="59"/>
      <c r="W94" s="6">
        <f>'CLIENT ENROLLMENT DISCHARGE '!M94</f>
        <v>0</v>
      </c>
      <c r="X94" s="76">
        <f>'CLIENT ENROLLMENT DISCHARGE '!L94</f>
        <v>0</v>
      </c>
      <c r="Y94" s="180" t="s">
        <v>0</v>
      </c>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O95+JULY!P96</f>
        <v>0</v>
      </c>
      <c r="Q95" s="59"/>
      <c r="R95" s="51"/>
      <c r="S95" s="65"/>
      <c r="T95" s="64"/>
      <c r="U95" s="67"/>
      <c r="V95" s="74"/>
      <c r="W95" s="6">
        <f>'CLIENT ENROLLMENT DISCHARGE '!M95</f>
        <v>0</v>
      </c>
      <c r="X95" s="76">
        <f>'CLIENT ENROLLMENT DISCHARGE '!L95</f>
        <v>0</v>
      </c>
      <c r="Y95" s="180" t="s">
        <v>0</v>
      </c>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O96+JULY!P97</f>
        <v>0</v>
      </c>
      <c r="Q96" s="60"/>
      <c r="R96" s="52"/>
      <c r="S96" s="66"/>
      <c r="T96" s="65"/>
      <c r="U96" s="68"/>
      <c r="V96" s="59"/>
      <c r="W96" s="6">
        <f>'CLIENT ENROLLMENT DISCHARGE '!M96</f>
        <v>0</v>
      </c>
      <c r="X96" s="76">
        <f>'CLIENT ENROLLMENT DISCHARGE '!L96</f>
        <v>0</v>
      </c>
      <c r="Y96" s="180" t="s">
        <v>0</v>
      </c>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O97+JULY!P98</f>
        <v>0</v>
      </c>
      <c r="Q97" s="59"/>
      <c r="R97" s="51"/>
      <c r="S97" s="65"/>
      <c r="T97" s="64"/>
      <c r="U97" s="67"/>
      <c r="V97" s="74"/>
      <c r="W97" s="6">
        <f>'CLIENT ENROLLMENT DISCHARGE '!M97</f>
        <v>0</v>
      </c>
      <c r="X97" s="76">
        <f>'CLIENT ENROLLMENT DISCHARGE '!L97</f>
        <v>0</v>
      </c>
      <c r="Y97" s="180" t="s">
        <v>0</v>
      </c>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O98+JULY!P99</f>
        <v>0</v>
      </c>
      <c r="Q98" s="60"/>
      <c r="R98" s="52"/>
      <c r="S98" s="66"/>
      <c r="T98" s="65"/>
      <c r="U98" s="68"/>
      <c r="V98" s="59"/>
      <c r="W98" s="6">
        <f>'CLIENT ENROLLMENT DISCHARGE '!M98</f>
        <v>0</v>
      </c>
      <c r="X98" s="76">
        <f>'CLIENT ENROLLMENT DISCHARGE '!L98</f>
        <v>0</v>
      </c>
      <c r="Y98" s="180" t="s">
        <v>0</v>
      </c>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O99+JULY!P100</f>
        <v>0</v>
      </c>
      <c r="Q99" s="59"/>
      <c r="R99" s="51"/>
      <c r="S99" s="65"/>
      <c r="T99" s="64"/>
      <c r="U99" s="67"/>
      <c r="V99" s="74"/>
      <c r="W99" s="6">
        <f>'CLIENT ENROLLMENT DISCHARGE '!M99</f>
        <v>0</v>
      </c>
      <c r="X99" s="76">
        <f>'CLIENT ENROLLMENT DISCHARGE '!L99</f>
        <v>0</v>
      </c>
      <c r="Y99" s="180" t="s">
        <v>0</v>
      </c>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O100+JULY!P101</f>
        <v>0</v>
      </c>
      <c r="Q100" s="60"/>
      <c r="R100" s="52"/>
      <c r="S100" s="66"/>
      <c r="T100" s="65"/>
      <c r="U100" s="68"/>
      <c r="V100" s="75"/>
      <c r="W100" s="6">
        <f>'CLIENT ENROLLMENT DISCHARGE '!M100</f>
        <v>0</v>
      </c>
      <c r="X100" s="76">
        <f>'CLIENT ENROLLMENT DISCHARGE '!L100</f>
        <v>0</v>
      </c>
      <c r="Y100" s="180" t="s">
        <v>0</v>
      </c>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O101+JULY!P102</f>
        <v>0</v>
      </c>
      <c r="Q101" s="59"/>
      <c r="R101" s="51"/>
      <c r="S101" s="65"/>
      <c r="T101" s="64"/>
      <c r="U101" s="67"/>
      <c r="V101" s="74"/>
      <c r="W101" s="6">
        <f>'CLIENT ENROLLMENT DISCHARGE '!M101</f>
        <v>0</v>
      </c>
      <c r="X101" s="76">
        <f>'CLIENT ENROLLMENT DISCHARGE '!L101</f>
        <v>0</v>
      </c>
      <c r="Y101" s="180" t="s">
        <v>0</v>
      </c>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O102+JULY!P103</f>
        <v>0</v>
      </c>
      <c r="Q102" s="60"/>
      <c r="R102" s="52"/>
      <c r="S102" s="66"/>
      <c r="T102" s="65"/>
      <c r="U102" s="68"/>
      <c r="V102" s="59"/>
      <c r="W102" s="6">
        <f>'CLIENT ENROLLMENT DISCHARGE '!M102</f>
        <v>0</v>
      </c>
      <c r="X102" s="76">
        <f>'CLIENT ENROLLMENT DISCHARGE '!L102</f>
        <v>0</v>
      </c>
      <c r="Y102" s="180" t="s">
        <v>0</v>
      </c>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O103+JULY!P104</f>
        <v>0</v>
      </c>
      <c r="Q103" s="59"/>
      <c r="R103" s="51"/>
      <c r="S103" s="65"/>
      <c r="T103" s="64"/>
      <c r="U103" s="67"/>
      <c r="V103" s="74"/>
      <c r="W103" s="6">
        <f>'CLIENT ENROLLMENT DISCHARGE '!M103</f>
        <v>0</v>
      </c>
      <c r="X103" s="76">
        <f>'CLIENT ENROLLMENT DISCHARGE '!L103</f>
        <v>0</v>
      </c>
      <c r="Y103" s="180" t="s">
        <v>0</v>
      </c>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O104+JULY!P105</f>
        <v>0</v>
      </c>
      <c r="Q104" s="60"/>
      <c r="R104" s="52"/>
      <c r="S104" s="66"/>
      <c r="T104" s="65"/>
      <c r="U104" s="68"/>
      <c r="V104" s="59"/>
      <c r="W104" s="6">
        <f>'CLIENT ENROLLMENT DISCHARGE '!M104</f>
        <v>0</v>
      </c>
      <c r="X104" s="76">
        <f>'CLIENT ENROLLMENT DISCHARGE '!L104</f>
        <v>0</v>
      </c>
      <c r="Y104" s="180" t="s">
        <v>0</v>
      </c>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O105+JULY!P106</f>
        <v>0</v>
      </c>
      <c r="Q105" s="59"/>
      <c r="R105" s="51"/>
      <c r="S105" s="65"/>
      <c r="T105" s="64"/>
      <c r="U105" s="67"/>
      <c r="V105" s="74"/>
      <c r="W105" s="6">
        <f>'CLIENT ENROLLMENT DISCHARGE '!M105</f>
        <v>0</v>
      </c>
      <c r="X105" s="76">
        <f>'CLIENT ENROLLMENT DISCHARGE '!L105</f>
        <v>0</v>
      </c>
      <c r="Y105" s="180" t="s">
        <v>0</v>
      </c>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O106+JULY!P107</f>
        <v>0</v>
      </c>
      <c r="Q106" s="60"/>
      <c r="R106" s="52"/>
      <c r="S106" s="66"/>
      <c r="T106" s="65"/>
      <c r="U106" s="68"/>
      <c r="V106" s="59"/>
      <c r="W106" s="6">
        <f>'CLIENT ENROLLMENT DISCHARGE '!M106</f>
        <v>0</v>
      </c>
      <c r="X106" s="76">
        <f>'CLIENT ENROLLMENT DISCHARGE '!L106</f>
        <v>0</v>
      </c>
      <c r="Y106" s="180" t="s">
        <v>0</v>
      </c>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O107+JULY!P108</f>
        <v>0</v>
      </c>
      <c r="Q107" s="59"/>
      <c r="R107" s="51"/>
      <c r="S107" s="65"/>
      <c r="T107" s="64"/>
      <c r="U107" s="67"/>
      <c r="V107" s="74"/>
      <c r="W107" s="6">
        <f>'CLIENT ENROLLMENT DISCHARGE '!M107</f>
        <v>0</v>
      </c>
      <c r="X107" s="76">
        <f>'CLIENT ENROLLMENT DISCHARGE '!L107</f>
        <v>0</v>
      </c>
      <c r="Y107" s="180" t="s">
        <v>0</v>
      </c>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O108+JULY!P109</f>
        <v>0</v>
      </c>
      <c r="Q108" s="60"/>
      <c r="R108" s="52"/>
      <c r="S108" s="66"/>
      <c r="T108" s="65"/>
      <c r="U108" s="68"/>
      <c r="V108" s="59"/>
      <c r="W108" s="6">
        <f>'CLIENT ENROLLMENT DISCHARGE '!M108</f>
        <v>0</v>
      </c>
      <c r="X108" s="76">
        <f>'CLIENT ENROLLMENT DISCHARGE '!L108</f>
        <v>0</v>
      </c>
      <c r="Y108" s="180" t="s">
        <v>0</v>
      </c>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O109+JULY!P110</f>
        <v>0</v>
      </c>
      <c r="Q109" s="59"/>
      <c r="R109" s="51"/>
      <c r="S109" s="65"/>
      <c r="T109" s="64"/>
      <c r="U109" s="67"/>
      <c r="V109" s="74"/>
      <c r="W109" s="6">
        <f>'CLIENT ENROLLMENT DISCHARGE '!M109</f>
        <v>0</v>
      </c>
      <c r="X109" s="76">
        <f>'CLIENT ENROLLMENT DISCHARGE '!L109</f>
        <v>0</v>
      </c>
      <c r="Y109" s="180" t="s">
        <v>0</v>
      </c>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O110+JULY!P111</f>
        <v>0</v>
      </c>
      <c r="Q110" s="60"/>
      <c r="R110" s="52"/>
      <c r="S110" s="66"/>
      <c r="T110" s="65"/>
      <c r="U110" s="68"/>
      <c r="V110" s="75"/>
      <c r="W110" s="6">
        <f>'CLIENT ENROLLMENT DISCHARGE '!M110</f>
        <v>0</v>
      </c>
      <c r="X110" s="76">
        <f>'CLIENT ENROLLMENT DISCHARGE '!L110</f>
        <v>0</v>
      </c>
      <c r="Y110" s="180" t="s">
        <v>0</v>
      </c>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O111+JULY!P112</f>
        <v>0</v>
      </c>
      <c r="Q111" s="59"/>
      <c r="R111" s="51"/>
      <c r="S111" s="65"/>
      <c r="T111" s="64"/>
      <c r="U111" s="67"/>
      <c r="V111" s="74"/>
      <c r="W111" s="6">
        <f>'CLIENT ENROLLMENT DISCHARGE '!M111</f>
        <v>0</v>
      </c>
      <c r="X111" s="76">
        <f>'CLIENT ENROLLMENT DISCHARGE '!L111</f>
        <v>0</v>
      </c>
      <c r="Y111" s="180" t="s">
        <v>0</v>
      </c>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O112+JULY!P113</f>
        <v>0</v>
      </c>
      <c r="Q112" s="60"/>
      <c r="R112" s="52"/>
      <c r="S112" s="66"/>
      <c r="T112" s="65"/>
      <c r="U112" s="68"/>
      <c r="V112" s="59"/>
      <c r="W112" s="6">
        <f>'CLIENT ENROLLMENT DISCHARGE '!M112</f>
        <v>0</v>
      </c>
      <c r="X112" s="76">
        <f>'CLIENT ENROLLMENT DISCHARGE '!L112</f>
        <v>0</v>
      </c>
      <c r="Y112" s="180" t="s">
        <v>0</v>
      </c>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O113+JULY!P114</f>
        <v>0</v>
      </c>
      <c r="Q113" s="59"/>
      <c r="R113" s="51"/>
      <c r="S113" s="65"/>
      <c r="T113" s="64"/>
      <c r="U113" s="67"/>
      <c r="V113" s="74"/>
      <c r="W113" s="6">
        <f>'CLIENT ENROLLMENT DISCHARGE '!M113</f>
        <v>0</v>
      </c>
      <c r="X113" s="76">
        <f>'CLIENT ENROLLMENT DISCHARGE '!L113</f>
        <v>0</v>
      </c>
      <c r="Y113" s="180" t="s">
        <v>0</v>
      </c>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O114+JULY!P115</f>
        <v>0</v>
      </c>
      <c r="Q114" s="60"/>
      <c r="R114" s="52"/>
      <c r="S114" s="66"/>
      <c r="T114" s="65"/>
      <c r="U114" s="68"/>
      <c r="V114" s="59"/>
      <c r="W114" s="6">
        <f>'CLIENT ENROLLMENT DISCHARGE '!M114</f>
        <v>0</v>
      </c>
      <c r="X114" s="76">
        <f>'CLIENT ENROLLMENT DISCHARGE '!L114</f>
        <v>0</v>
      </c>
      <c r="Y114" s="180" t="s">
        <v>0</v>
      </c>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O115+JULY!P116</f>
        <v>0</v>
      </c>
      <c r="Q115" s="59"/>
      <c r="R115" s="51"/>
      <c r="S115" s="65"/>
      <c r="T115" s="64"/>
      <c r="U115" s="67"/>
      <c r="V115" s="74"/>
      <c r="W115" s="6">
        <f>'CLIENT ENROLLMENT DISCHARGE '!M115</f>
        <v>0</v>
      </c>
      <c r="X115" s="76">
        <f>'CLIENT ENROLLMENT DISCHARGE '!L115</f>
        <v>0</v>
      </c>
      <c r="Y115" s="180" t="s">
        <v>0</v>
      </c>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O116+JULY!P117</f>
        <v>0</v>
      </c>
      <c r="Q116" s="60"/>
      <c r="R116" s="52"/>
      <c r="S116" s="66"/>
      <c r="T116" s="65"/>
      <c r="U116" s="68"/>
      <c r="V116" s="59"/>
      <c r="W116" s="6">
        <f>'CLIENT ENROLLMENT DISCHARGE '!M116</f>
        <v>0</v>
      </c>
      <c r="X116" s="76">
        <f>'CLIENT ENROLLMENT DISCHARGE '!L116</f>
        <v>0</v>
      </c>
      <c r="Y116" s="180" t="s">
        <v>0</v>
      </c>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O117+JULY!P118</f>
        <v>0</v>
      </c>
      <c r="Q117" s="59"/>
      <c r="R117" s="51"/>
      <c r="S117" s="65"/>
      <c r="T117" s="64"/>
      <c r="U117" s="67"/>
      <c r="V117" s="74"/>
      <c r="W117" s="6">
        <f>'CLIENT ENROLLMENT DISCHARGE '!M117</f>
        <v>0</v>
      </c>
      <c r="X117" s="76">
        <f>'CLIENT ENROLLMENT DISCHARGE '!L117</f>
        <v>0</v>
      </c>
      <c r="Y117" s="180" t="s">
        <v>0</v>
      </c>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O118+JULY!P119</f>
        <v>0</v>
      </c>
      <c r="Q118" s="60"/>
      <c r="R118" s="52"/>
      <c r="S118" s="66"/>
      <c r="T118" s="65"/>
      <c r="U118" s="68"/>
      <c r="V118" s="59"/>
      <c r="W118" s="6">
        <f>'CLIENT ENROLLMENT DISCHARGE '!M118</f>
        <v>0</v>
      </c>
      <c r="X118" s="76">
        <f>'CLIENT ENROLLMENT DISCHARGE '!L118</f>
        <v>0</v>
      </c>
      <c r="Y118" s="180" t="s">
        <v>0</v>
      </c>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O119+JULY!P120</f>
        <v>0</v>
      </c>
      <c r="Q119" s="59"/>
      <c r="R119" s="51"/>
      <c r="S119" s="65"/>
      <c r="T119" s="64"/>
      <c r="U119" s="67"/>
      <c r="V119" s="74"/>
      <c r="W119" s="6">
        <f>'CLIENT ENROLLMENT DISCHARGE '!M119</f>
        <v>0</v>
      </c>
      <c r="X119" s="76">
        <f>'CLIENT ENROLLMENT DISCHARGE '!L119</f>
        <v>0</v>
      </c>
      <c r="Y119" s="180" t="s">
        <v>0</v>
      </c>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O120+JULY!P121</f>
        <v>0</v>
      </c>
      <c r="Q120" s="60"/>
      <c r="R120" s="52"/>
      <c r="S120" s="66"/>
      <c r="T120" s="65"/>
      <c r="U120" s="68"/>
      <c r="V120" s="75"/>
      <c r="W120" s="6">
        <f>'CLIENT ENROLLMENT DISCHARGE '!M120</f>
        <v>0</v>
      </c>
      <c r="X120" s="76">
        <f>'CLIENT ENROLLMENT DISCHARGE '!L120</f>
        <v>0</v>
      </c>
      <c r="Y120" s="180" t="s">
        <v>0</v>
      </c>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O121+JULY!P122</f>
        <v>0</v>
      </c>
      <c r="Q121" s="59"/>
      <c r="R121" s="51"/>
      <c r="S121" s="65"/>
      <c r="T121" s="64"/>
      <c r="U121" s="67"/>
      <c r="V121" s="74"/>
      <c r="W121" s="6">
        <f>'CLIENT ENROLLMENT DISCHARGE '!M121</f>
        <v>0</v>
      </c>
      <c r="X121" s="76">
        <f>'CLIENT ENROLLMENT DISCHARGE '!L121</f>
        <v>0</v>
      </c>
      <c r="Y121" s="180" t="s">
        <v>0</v>
      </c>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O122+JULY!P123</f>
        <v>0</v>
      </c>
      <c r="Q122" s="60"/>
      <c r="R122" s="52"/>
      <c r="S122" s="66"/>
      <c r="T122" s="65"/>
      <c r="U122" s="68"/>
      <c r="V122" s="59"/>
      <c r="W122" s="6">
        <f>'CLIENT ENROLLMENT DISCHARGE '!M122</f>
        <v>0</v>
      </c>
      <c r="X122" s="76">
        <f>'CLIENT ENROLLMENT DISCHARGE '!L122</f>
        <v>0</v>
      </c>
      <c r="Y122" s="180" t="s">
        <v>0</v>
      </c>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O123+JULY!P124</f>
        <v>0</v>
      </c>
      <c r="Q123" s="59"/>
      <c r="R123" s="51"/>
      <c r="S123" s="65"/>
      <c r="T123" s="64"/>
      <c r="U123" s="67"/>
      <c r="V123" s="74"/>
      <c r="W123" s="6">
        <f>'CLIENT ENROLLMENT DISCHARGE '!M123</f>
        <v>0</v>
      </c>
      <c r="X123" s="76">
        <f>'CLIENT ENROLLMENT DISCHARGE '!L123</f>
        <v>0</v>
      </c>
      <c r="Y123" s="180" t="s">
        <v>0</v>
      </c>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O124+JULY!P125</f>
        <v>0</v>
      </c>
      <c r="Q124" s="60"/>
      <c r="R124" s="52"/>
      <c r="S124" s="66"/>
      <c r="T124" s="65"/>
      <c r="U124" s="68"/>
      <c r="V124" s="59"/>
      <c r="W124" s="6">
        <f>'CLIENT ENROLLMENT DISCHARGE '!M124</f>
        <v>0</v>
      </c>
      <c r="X124" s="76">
        <f>'CLIENT ENROLLMENT DISCHARGE '!L124</f>
        <v>0</v>
      </c>
      <c r="Y124" s="180" t="s">
        <v>0</v>
      </c>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O125+JULY!P126</f>
        <v>0</v>
      </c>
      <c r="Q125" s="59"/>
      <c r="R125" s="51"/>
      <c r="S125" s="65"/>
      <c r="T125" s="64"/>
      <c r="U125" s="67"/>
      <c r="V125" s="74"/>
      <c r="W125" s="6">
        <f>'CLIENT ENROLLMENT DISCHARGE '!M125</f>
        <v>0</v>
      </c>
      <c r="X125" s="76">
        <f>'CLIENT ENROLLMENT DISCHARGE '!L125</f>
        <v>0</v>
      </c>
      <c r="Y125" s="180" t="s">
        <v>0</v>
      </c>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O126+JULY!P127</f>
        <v>0</v>
      </c>
      <c r="Q126" s="60"/>
      <c r="R126" s="52"/>
      <c r="S126" s="66"/>
      <c r="T126" s="65"/>
      <c r="U126" s="68"/>
      <c r="V126" s="59"/>
      <c r="W126" s="6">
        <f>'CLIENT ENROLLMENT DISCHARGE '!M126</f>
        <v>0</v>
      </c>
      <c r="X126" s="76">
        <f>'CLIENT ENROLLMENT DISCHARGE '!L126</f>
        <v>0</v>
      </c>
      <c r="Y126" s="180" t="s">
        <v>0</v>
      </c>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O127+JULY!P128</f>
        <v>0</v>
      </c>
      <c r="Q127" s="59"/>
      <c r="R127" s="51"/>
      <c r="S127" s="65"/>
      <c r="T127" s="64"/>
      <c r="U127" s="67"/>
      <c r="V127" s="74"/>
      <c r="W127" s="6">
        <f>'CLIENT ENROLLMENT DISCHARGE '!M127</f>
        <v>0</v>
      </c>
      <c r="X127" s="76">
        <f>'CLIENT ENROLLMENT DISCHARGE '!L127</f>
        <v>0</v>
      </c>
      <c r="Y127" s="180" t="s">
        <v>0</v>
      </c>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O128+JULY!P129</f>
        <v>0</v>
      </c>
      <c r="Q128" s="60"/>
      <c r="R128" s="52"/>
      <c r="S128" s="66"/>
      <c r="T128" s="65"/>
      <c r="U128" s="68"/>
      <c r="V128" s="59"/>
      <c r="W128" s="6">
        <f>'CLIENT ENROLLMENT DISCHARGE '!M128</f>
        <v>0</v>
      </c>
      <c r="X128" s="76">
        <f>'CLIENT ENROLLMENT DISCHARGE '!L128</f>
        <v>0</v>
      </c>
      <c r="Y128" s="180" t="s">
        <v>0</v>
      </c>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O129+JULY!P130</f>
        <v>0</v>
      </c>
      <c r="Q129" s="59"/>
      <c r="R129" s="51"/>
      <c r="S129" s="65"/>
      <c r="T129" s="64"/>
      <c r="U129" s="67"/>
      <c r="V129" s="74"/>
      <c r="W129" s="6">
        <f>'CLIENT ENROLLMENT DISCHARGE '!M129</f>
        <v>0</v>
      </c>
      <c r="X129" s="76">
        <f>'CLIENT ENROLLMENT DISCHARGE '!L129</f>
        <v>0</v>
      </c>
      <c r="Y129" s="180" t="s">
        <v>0</v>
      </c>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O130+JULY!P131</f>
        <v>0</v>
      </c>
      <c r="Q130" s="60"/>
      <c r="R130" s="52"/>
      <c r="S130" s="66"/>
      <c r="T130" s="65"/>
      <c r="U130" s="68"/>
      <c r="V130" s="75"/>
      <c r="W130" s="6">
        <f>'CLIENT ENROLLMENT DISCHARGE '!M130</f>
        <v>0</v>
      </c>
      <c r="X130" s="76">
        <f>'CLIENT ENROLLMENT DISCHARGE '!L130</f>
        <v>0</v>
      </c>
      <c r="Y130" s="180" t="s">
        <v>0</v>
      </c>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O131+JULY!P132</f>
        <v>0</v>
      </c>
      <c r="Q131" s="59"/>
      <c r="R131" s="51"/>
      <c r="S131" s="65"/>
      <c r="T131" s="64"/>
      <c r="U131" s="67"/>
      <c r="V131" s="74"/>
      <c r="W131" s="6">
        <f>'CLIENT ENROLLMENT DISCHARGE '!M131</f>
        <v>0</v>
      </c>
      <c r="X131" s="76">
        <f>'CLIENT ENROLLMENT DISCHARGE '!L131</f>
        <v>0</v>
      </c>
      <c r="Y131" s="180" t="s">
        <v>0</v>
      </c>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O132+JULY!P133</f>
        <v>0</v>
      </c>
      <c r="Q132" s="60"/>
      <c r="R132" s="52"/>
      <c r="S132" s="66"/>
      <c r="T132" s="65"/>
      <c r="U132" s="68"/>
      <c r="V132" s="59"/>
      <c r="W132" s="6">
        <f>'CLIENT ENROLLMENT DISCHARGE '!M132</f>
        <v>0</v>
      </c>
      <c r="X132" s="76">
        <f>'CLIENT ENROLLMENT DISCHARGE '!L132</f>
        <v>0</v>
      </c>
      <c r="Y132" s="180" t="s">
        <v>0</v>
      </c>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O133+JULY!P134</f>
        <v>0</v>
      </c>
      <c r="Q133" s="59"/>
      <c r="R133" s="51"/>
      <c r="S133" s="65"/>
      <c r="T133" s="64"/>
      <c r="U133" s="67"/>
      <c r="V133" s="74"/>
      <c r="W133" s="6">
        <f>'CLIENT ENROLLMENT DISCHARGE '!M133</f>
        <v>0</v>
      </c>
      <c r="X133" s="76">
        <f>'CLIENT ENROLLMENT DISCHARGE '!L133</f>
        <v>0</v>
      </c>
      <c r="Y133" s="180" t="s">
        <v>0</v>
      </c>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O134+JULY!P135</f>
        <v>0</v>
      </c>
      <c r="Q134" s="60"/>
      <c r="R134" s="52"/>
      <c r="S134" s="66"/>
      <c r="T134" s="65"/>
      <c r="U134" s="68"/>
      <c r="V134" s="59"/>
      <c r="W134" s="6">
        <f>'CLIENT ENROLLMENT DISCHARGE '!M134</f>
        <v>0</v>
      </c>
      <c r="X134" s="76">
        <f>'CLIENT ENROLLMENT DISCHARGE '!L134</f>
        <v>0</v>
      </c>
      <c r="Y134" s="180" t="s">
        <v>0</v>
      </c>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O135+JULY!P136</f>
        <v>0</v>
      </c>
      <c r="Q135" s="59"/>
      <c r="R135" s="51"/>
      <c r="S135" s="65"/>
      <c r="T135" s="64"/>
      <c r="U135" s="67"/>
      <c r="V135" s="74"/>
      <c r="W135" s="6">
        <f>'CLIENT ENROLLMENT DISCHARGE '!M135</f>
        <v>0</v>
      </c>
      <c r="X135" s="76">
        <f>'CLIENT ENROLLMENT DISCHARGE '!L135</f>
        <v>0</v>
      </c>
      <c r="Y135" s="180" t="s">
        <v>0</v>
      </c>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O136+JULY!P137</f>
        <v>0</v>
      </c>
      <c r="Q136" s="60"/>
      <c r="R136" s="52"/>
      <c r="S136" s="66"/>
      <c r="T136" s="65"/>
      <c r="U136" s="68"/>
      <c r="V136" s="59"/>
      <c r="W136" s="6">
        <f>'CLIENT ENROLLMENT DISCHARGE '!M136</f>
        <v>0</v>
      </c>
      <c r="X136" s="76">
        <f>'CLIENT ENROLLMENT DISCHARGE '!L136</f>
        <v>0</v>
      </c>
      <c r="Y136" s="180" t="s">
        <v>0</v>
      </c>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O137+JULY!P138</f>
        <v>0</v>
      </c>
      <c r="Q137" s="59"/>
      <c r="R137" s="51"/>
      <c r="S137" s="65"/>
      <c r="T137" s="64"/>
      <c r="U137" s="67"/>
      <c r="V137" s="74"/>
      <c r="W137" s="6">
        <f>'CLIENT ENROLLMENT DISCHARGE '!M137</f>
        <v>0</v>
      </c>
      <c r="X137" s="76">
        <f>'CLIENT ENROLLMENT DISCHARGE '!L137</f>
        <v>0</v>
      </c>
      <c r="Y137" s="180" t="s">
        <v>0</v>
      </c>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O138+JULY!P139</f>
        <v>0</v>
      </c>
      <c r="Q138" s="60"/>
      <c r="R138" s="52"/>
      <c r="S138" s="66"/>
      <c r="T138" s="65"/>
      <c r="U138" s="68"/>
      <c r="V138" s="59"/>
      <c r="W138" s="6">
        <f>'CLIENT ENROLLMENT DISCHARGE '!M138</f>
        <v>0</v>
      </c>
      <c r="X138" s="76">
        <f>'CLIENT ENROLLMENT DISCHARGE '!L138</f>
        <v>0</v>
      </c>
      <c r="Y138" s="180" t="s">
        <v>0</v>
      </c>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O139+JULY!P140</f>
        <v>0</v>
      </c>
      <c r="Q139" s="59"/>
      <c r="R139" s="51"/>
      <c r="S139" s="65"/>
      <c r="T139" s="64"/>
      <c r="U139" s="67"/>
      <c r="V139" s="74"/>
      <c r="W139" s="6">
        <f>'CLIENT ENROLLMENT DISCHARGE '!M139</f>
        <v>0</v>
      </c>
      <c r="X139" s="76">
        <f>'CLIENT ENROLLMENT DISCHARGE '!L139</f>
        <v>0</v>
      </c>
      <c r="Y139" s="180" t="s">
        <v>0</v>
      </c>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O140+JULY!P141</f>
        <v>0</v>
      </c>
      <c r="Q140" s="60"/>
      <c r="R140" s="52"/>
      <c r="S140" s="66"/>
      <c r="T140" s="65"/>
      <c r="U140" s="68"/>
      <c r="V140" s="75"/>
      <c r="W140" s="6">
        <f>'CLIENT ENROLLMENT DISCHARGE '!M140</f>
        <v>0</v>
      </c>
      <c r="X140" s="76">
        <f>'CLIENT ENROLLMENT DISCHARGE '!L140</f>
        <v>0</v>
      </c>
      <c r="Y140" s="180" t="s">
        <v>0</v>
      </c>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O141+JULY!P142</f>
        <v>0</v>
      </c>
      <c r="Q141" s="59"/>
      <c r="R141" s="51"/>
      <c r="S141" s="65"/>
      <c r="T141" s="64"/>
      <c r="U141" s="67"/>
      <c r="V141" s="74"/>
      <c r="W141" s="6">
        <f>'CLIENT ENROLLMENT DISCHARGE '!M141</f>
        <v>0</v>
      </c>
      <c r="X141" s="76">
        <f>'CLIENT ENROLLMENT DISCHARGE '!L141</f>
        <v>0</v>
      </c>
      <c r="Y141" s="180" t="s">
        <v>0</v>
      </c>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O142+JULY!P143</f>
        <v>0</v>
      </c>
      <c r="Q142" s="60"/>
      <c r="R142" s="52"/>
      <c r="S142" s="66"/>
      <c r="T142" s="65"/>
      <c r="U142" s="68"/>
      <c r="V142" s="59"/>
      <c r="W142" s="6">
        <f>'CLIENT ENROLLMENT DISCHARGE '!M142</f>
        <v>0</v>
      </c>
      <c r="X142" s="76">
        <f>'CLIENT ENROLLMENT DISCHARGE '!L142</f>
        <v>0</v>
      </c>
      <c r="Y142" s="180" t="s">
        <v>0</v>
      </c>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O143+JULY!P144</f>
        <v>0</v>
      </c>
      <c r="Q143" s="59"/>
      <c r="R143" s="51"/>
      <c r="S143" s="65"/>
      <c r="T143" s="64"/>
      <c r="U143" s="67"/>
      <c r="V143" s="74"/>
      <c r="W143" s="6">
        <f>'CLIENT ENROLLMENT DISCHARGE '!M143</f>
        <v>0</v>
      </c>
      <c r="X143" s="76">
        <f>'CLIENT ENROLLMENT DISCHARGE '!L143</f>
        <v>0</v>
      </c>
      <c r="Y143" s="180" t="s">
        <v>0</v>
      </c>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O144+JULY!P145</f>
        <v>0</v>
      </c>
      <c r="Q144" s="60"/>
      <c r="R144" s="52"/>
      <c r="S144" s="66"/>
      <c r="T144" s="65"/>
      <c r="U144" s="68"/>
      <c r="V144" s="59"/>
      <c r="W144" s="6">
        <f>'CLIENT ENROLLMENT DISCHARGE '!M144</f>
        <v>0</v>
      </c>
      <c r="X144" s="76">
        <f>'CLIENT ENROLLMENT DISCHARGE '!L144</f>
        <v>0</v>
      </c>
      <c r="Y144" s="180" t="s">
        <v>0</v>
      </c>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O145+JULY!P146</f>
        <v>0</v>
      </c>
      <c r="Q145" s="59"/>
      <c r="R145" s="51"/>
      <c r="S145" s="65"/>
      <c r="T145" s="64"/>
      <c r="U145" s="67"/>
      <c r="V145" s="74"/>
      <c r="W145" s="6">
        <f>'CLIENT ENROLLMENT DISCHARGE '!M145</f>
        <v>0</v>
      </c>
      <c r="X145" s="76">
        <f>'CLIENT ENROLLMENT DISCHARGE '!L145</f>
        <v>0</v>
      </c>
      <c r="Y145" s="180" t="s">
        <v>0</v>
      </c>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O146+JULY!P147</f>
        <v>0</v>
      </c>
      <c r="Q146" s="60"/>
      <c r="R146" s="52"/>
      <c r="S146" s="66"/>
      <c r="T146" s="65"/>
      <c r="U146" s="68"/>
      <c r="V146" s="59"/>
      <c r="W146" s="6">
        <f>'CLIENT ENROLLMENT DISCHARGE '!M146</f>
        <v>0</v>
      </c>
      <c r="X146" s="76">
        <f>'CLIENT ENROLLMENT DISCHARGE '!L146</f>
        <v>0</v>
      </c>
      <c r="Y146" s="180" t="s">
        <v>0</v>
      </c>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O147+JULY!P148</f>
        <v>0</v>
      </c>
      <c r="Q147" s="59"/>
      <c r="R147" s="51"/>
      <c r="S147" s="65"/>
      <c r="T147" s="64"/>
      <c r="U147" s="67"/>
      <c r="V147" s="74"/>
      <c r="W147" s="6">
        <f>'CLIENT ENROLLMENT DISCHARGE '!M147</f>
        <v>0</v>
      </c>
      <c r="X147" s="76">
        <f>'CLIENT ENROLLMENT DISCHARGE '!L147</f>
        <v>0</v>
      </c>
      <c r="Y147" s="180" t="s">
        <v>0</v>
      </c>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O148+JULY!P149</f>
        <v>0</v>
      </c>
      <c r="Q148" s="60"/>
      <c r="R148" s="52"/>
      <c r="S148" s="66"/>
      <c r="T148" s="65"/>
      <c r="U148" s="68"/>
      <c r="V148" s="59"/>
      <c r="W148" s="6">
        <f>'CLIENT ENROLLMENT DISCHARGE '!M148</f>
        <v>0</v>
      </c>
      <c r="X148" s="76">
        <f>'CLIENT ENROLLMENT DISCHARGE '!L148</f>
        <v>0</v>
      </c>
      <c r="Y148" s="180" t="s">
        <v>0</v>
      </c>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O149+JULY!P150</f>
        <v>0</v>
      </c>
      <c r="Q149" s="59"/>
      <c r="R149" s="51"/>
      <c r="S149" s="65"/>
      <c r="T149" s="64"/>
      <c r="U149" s="67"/>
      <c r="V149" s="74"/>
      <c r="W149" s="6">
        <f>'CLIENT ENROLLMENT DISCHARGE '!M149</f>
        <v>0</v>
      </c>
      <c r="X149" s="76">
        <f>'CLIENT ENROLLMENT DISCHARGE '!L149</f>
        <v>0</v>
      </c>
      <c r="Y149" s="180" t="s">
        <v>0</v>
      </c>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O150+JULY!P151</f>
        <v>0</v>
      </c>
      <c r="Q150" s="60"/>
      <c r="R150" s="52"/>
      <c r="S150" s="66"/>
      <c r="T150" s="65"/>
      <c r="U150" s="68"/>
      <c r="V150" s="75"/>
      <c r="W150" s="6">
        <f>'CLIENT ENROLLMENT DISCHARGE '!M150</f>
        <v>0</v>
      </c>
      <c r="X150" s="76">
        <f>'CLIENT ENROLLMENT DISCHARGE '!L150</f>
        <v>0</v>
      </c>
      <c r="Y150" s="180" t="s">
        <v>0</v>
      </c>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O151+JULY!P152</f>
        <v>0</v>
      </c>
      <c r="Q151" s="59"/>
      <c r="R151" s="51"/>
      <c r="S151" s="65"/>
      <c r="T151" s="64"/>
      <c r="U151" s="67"/>
      <c r="V151" s="74"/>
      <c r="W151" s="6">
        <f>'CLIENT ENROLLMENT DISCHARGE '!M151</f>
        <v>0</v>
      </c>
      <c r="X151" s="76">
        <f>'CLIENT ENROLLMENT DISCHARGE '!L151</f>
        <v>0</v>
      </c>
      <c r="Y151" s="180" t="s">
        <v>0</v>
      </c>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O152+JULY!P153</f>
        <v>0</v>
      </c>
      <c r="Q152" s="60"/>
      <c r="R152" s="52"/>
      <c r="S152" s="66"/>
      <c r="T152" s="65"/>
      <c r="U152" s="68"/>
      <c r="V152" s="59"/>
      <c r="W152" s="6">
        <f>'CLIENT ENROLLMENT DISCHARGE '!M152</f>
        <v>0</v>
      </c>
      <c r="X152" s="76">
        <f>'CLIENT ENROLLMENT DISCHARGE '!L152</f>
        <v>0</v>
      </c>
      <c r="Y152" s="180" t="s">
        <v>0</v>
      </c>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O153+JULY!P154</f>
        <v>0</v>
      </c>
      <c r="Q153" s="59"/>
      <c r="R153" s="51"/>
      <c r="S153" s="65"/>
      <c r="T153" s="64"/>
      <c r="U153" s="67"/>
      <c r="V153" s="74"/>
      <c r="W153" s="6">
        <f>'CLIENT ENROLLMENT DISCHARGE '!M153</f>
        <v>0</v>
      </c>
      <c r="X153" s="76">
        <f>'CLIENT ENROLLMENT DISCHARGE '!L153</f>
        <v>0</v>
      </c>
      <c r="Y153" s="180" t="s">
        <v>0</v>
      </c>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O154+JULY!P155</f>
        <v>0</v>
      </c>
      <c r="Q154" s="60"/>
      <c r="R154" s="52"/>
      <c r="S154" s="66"/>
      <c r="T154" s="65"/>
      <c r="U154" s="68"/>
      <c r="V154" s="59"/>
      <c r="W154" s="6">
        <f>'CLIENT ENROLLMENT DISCHARGE '!M154</f>
        <v>0</v>
      </c>
      <c r="X154" s="76">
        <f>'CLIENT ENROLLMENT DISCHARGE '!L154</f>
        <v>0</v>
      </c>
      <c r="Y154" s="180" t="s">
        <v>0</v>
      </c>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O155+JULY!P156</f>
        <v>0</v>
      </c>
      <c r="Q155" s="59"/>
      <c r="R155" s="51"/>
      <c r="S155" s="65"/>
      <c r="T155" s="64"/>
      <c r="U155" s="67"/>
      <c r="V155" s="74"/>
      <c r="W155" s="6">
        <f>'CLIENT ENROLLMENT DISCHARGE '!M155</f>
        <v>0</v>
      </c>
      <c r="X155" s="76">
        <f>'CLIENT ENROLLMENT DISCHARGE '!L155</f>
        <v>0</v>
      </c>
      <c r="Y155" s="180" t="s">
        <v>0</v>
      </c>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O156+JULY!P157</f>
        <v>0</v>
      </c>
      <c r="Q156" s="60"/>
      <c r="R156" s="52"/>
      <c r="S156" s="66"/>
      <c r="T156" s="65"/>
      <c r="U156" s="68"/>
      <c r="V156" s="59"/>
      <c r="W156" s="6">
        <f>'CLIENT ENROLLMENT DISCHARGE '!M156</f>
        <v>0</v>
      </c>
      <c r="X156" s="76">
        <f>'CLIENT ENROLLMENT DISCHARGE '!L156</f>
        <v>0</v>
      </c>
      <c r="Y156" s="180" t="s">
        <v>0</v>
      </c>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O157+JULY!P158</f>
        <v>0</v>
      </c>
      <c r="Q157" s="59"/>
      <c r="R157" s="51"/>
      <c r="S157" s="65"/>
      <c r="T157" s="64"/>
      <c r="U157" s="67"/>
      <c r="V157" s="74"/>
      <c r="W157" s="6">
        <f>'CLIENT ENROLLMENT DISCHARGE '!M157</f>
        <v>0</v>
      </c>
      <c r="X157" s="76">
        <f>'CLIENT ENROLLMENT DISCHARGE '!L157</f>
        <v>0</v>
      </c>
      <c r="Y157" s="180" t="s">
        <v>0</v>
      </c>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O158+JULY!P159</f>
        <v>0</v>
      </c>
      <c r="Q158" s="60"/>
      <c r="R158" s="52"/>
      <c r="S158" s="66"/>
      <c r="T158" s="65"/>
      <c r="U158" s="68"/>
      <c r="V158" s="59"/>
      <c r="W158" s="6">
        <f>'CLIENT ENROLLMENT DISCHARGE '!M158</f>
        <v>0</v>
      </c>
      <c r="X158" s="76">
        <f>'CLIENT ENROLLMENT DISCHARGE '!L158</f>
        <v>0</v>
      </c>
      <c r="Y158" s="180" t="s">
        <v>0</v>
      </c>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O159+JULY!P160</f>
        <v>0</v>
      </c>
      <c r="Q159" s="59"/>
      <c r="R159" s="51"/>
      <c r="S159" s="65"/>
      <c r="T159" s="64"/>
      <c r="U159" s="67"/>
      <c r="V159" s="74"/>
      <c r="W159" s="6">
        <f>'CLIENT ENROLLMENT DISCHARGE '!M159</f>
        <v>0</v>
      </c>
      <c r="X159" s="76">
        <f>'CLIENT ENROLLMENT DISCHARGE '!L159</f>
        <v>0</v>
      </c>
      <c r="Y159" s="180" t="s">
        <v>0</v>
      </c>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O160+JULY!P161</f>
        <v>0</v>
      </c>
      <c r="Q160" s="60"/>
      <c r="R160" s="52"/>
      <c r="S160" s="66"/>
      <c r="T160" s="65"/>
      <c r="U160" s="68"/>
      <c r="V160" s="75"/>
      <c r="W160" s="6">
        <f>'CLIENT ENROLLMENT DISCHARGE '!M160</f>
        <v>0</v>
      </c>
      <c r="X160" s="76">
        <f>'CLIENT ENROLLMENT DISCHARGE '!L160</f>
        <v>0</v>
      </c>
      <c r="Y160" s="180" t="s">
        <v>0</v>
      </c>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O161+JULY!P162</f>
        <v>0</v>
      </c>
      <c r="Q161" s="59"/>
      <c r="R161" s="51"/>
      <c r="S161" s="65"/>
      <c r="T161" s="64"/>
      <c r="U161" s="67"/>
      <c r="V161" s="74"/>
      <c r="W161" s="6">
        <f>'CLIENT ENROLLMENT DISCHARGE '!M161</f>
        <v>0</v>
      </c>
      <c r="X161" s="76">
        <f>'CLIENT ENROLLMENT DISCHARGE '!L161</f>
        <v>0</v>
      </c>
      <c r="Y161" s="180" t="s">
        <v>0</v>
      </c>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O162+JULY!P163</f>
        <v>0</v>
      </c>
      <c r="Q162" s="60"/>
      <c r="R162" s="52"/>
      <c r="S162" s="66"/>
      <c r="T162" s="65"/>
      <c r="U162" s="68"/>
      <c r="V162" s="59"/>
      <c r="W162" s="6">
        <f>'CLIENT ENROLLMENT DISCHARGE '!M162</f>
        <v>0</v>
      </c>
      <c r="X162" s="76">
        <f>'CLIENT ENROLLMENT DISCHARGE '!L162</f>
        <v>0</v>
      </c>
      <c r="Y162" s="180" t="s">
        <v>0</v>
      </c>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O163+JULY!P164</f>
        <v>0</v>
      </c>
      <c r="Q163" s="59"/>
      <c r="R163" s="51"/>
      <c r="S163" s="65"/>
      <c r="T163" s="64"/>
      <c r="U163" s="67"/>
      <c r="V163" s="74"/>
      <c r="W163" s="6">
        <f>'CLIENT ENROLLMENT DISCHARGE '!M163</f>
        <v>0</v>
      </c>
      <c r="X163" s="76">
        <f>'CLIENT ENROLLMENT DISCHARGE '!L163</f>
        <v>0</v>
      </c>
      <c r="Y163" s="180" t="s">
        <v>0</v>
      </c>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O164+JULY!P165</f>
        <v>0</v>
      </c>
      <c r="Q164" s="60"/>
      <c r="R164" s="52"/>
      <c r="S164" s="66"/>
      <c r="T164" s="65"/>
      <c r="U164" s="68"/>
      <c r="V164" s="59"/>
      <c r="W164" s="6">
        <f>'CLIENT ENROLLMENT DISCHARGE '!M164</f>
        <v>0</v>
      </c>
      <c r="X164" s="76">
        <f>'CLIENT ENROLLMENT DISCHARGE '!L164</f>
        <v>0</v>
      </c>
      <c r="Y164" s="180" t="s">
        <v>0</v>
      </c>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O165+JULY!P166</f>
        <v>0</v>
      </c>
      <c r="Q165" s="59"/>
      <c r="R165" s="51"/>
      <c r="S165" s="65"/>
      <c r="T165" s="64"/>
      <c r="U165" s="67"/>
      <c r="V165" s="74"/>
      <c r="W165" s="6">
        <f>'CLIENT ENROLLMENT DISCHARGE '!M165</f>
        <v>0</v>
      </c>
      <c r="X165" s="76">
        <f>'CLIENT ENROLLMENT DISCHARGE '!L165</f>
        <v>0</v>
      </c>
      <c r="Y165" s="180" t="s">
        <v>0</v>
      </c>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O166+JULY!P167</f>
        <v>0</v>
      </c>
      <c r="Q166" s="60"/>
      <c r="R166" s="52"/>
      <c r="S166" s="66"/>
      <c r="T166" s="65"/>
      <c r="U166" s="68"/>
      <c r="V166" s="59"/>
      <c r="W166" s="6">
        <f>'CLIENT ENROLLMENT DISCHARGE '!M166</f>
        <v>0</v>
      </c>
      <c r="X166" s="76">
        <f>'CLIENT ENROLLMENT DISCHARGE '!L166</f>
        <v>0</v>
      </c>
      <c r="Y166" s="180" t="s">
        <v>0</v>
      </c>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O167+JULY!P168</f>
        <v>0</v>
      </c>
      <c r="Q167" s="59"/>
      <c r="R167" s="51"/>
      <c r="S167" s="65"/>
      <c r="T167" s="64"/>
      <c r="U167" s="67"/>
      <c r="V167" s="74"/>
      <c r="W167" s="6">
        <f>'CLIENT ENROLLMENT DISCHARGE '!M167</f>
        <v>0</v>
      </c>
      <c r="X167" s="76">
        <f>'CLIENT ENROLLMENT DISCHARGE '!L167</f>
        <v>0</v>
      </c>
      <c r="Y167" s="180" t="s">
        <v>0</v>
      </c>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O168+JULY!P169</f>
        <v>0</v>
      </c>
      <c r="Q168" s="60"/>
      <c r="R168" s="52"/>
      <c r="S168" s="66"/>
      <c r="T168" s="65"/>
      <c r="U168" s="68"/>
      <c r="V168" s="59"/>
      <c r="W168" s="6">
        <f>'CLIENT ENROLLMENT DISCHARGE '!M168</f>
        <v>0</v>
      </c>
      <c r="X168" s="76">
        <f>'CLIENT ENROLLMENT DISCHARGE '!L168</f>
        <v>0</v>
      </c>
      <c r="Y168" s="180" t="s">
        <v>0</v>
      </c>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O169+JULY!P170</f>
        <v>0</v>
      </c>
      <c r="Q169" s="59"/>
      <c r="R169" s="51"/>
      <c r="S169" s="65"/>
      <c r="T169" s="64"/>
      <c r="U169" s="67"/>
      <c r="V169" s="74"/>
      <c r="W169" s="6">
        <f>'CLIENT ENROLLMENT DISCHARGE '!M169</f>
        <v>0</v>
      </c>
      <c r="X169" s="76">
        <f>'CLIENT ENROLLMENT DISCHARGE '!L169</f>
        <v>0</v>
      </c>
      <c r="Y169" s="180" t="s">
        <v>0</v>
      </c>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O170+JULY!P171</f>
        <v>0</v>
      </c>
      <c r="Q170" s="60"/>
      <c r="R170" s="52"/>
      <c r="S170" s="66"/>
      <c r="T170" s="65"/>
      <c r="U170" s="68"/>
      <c r="V170" s="75"/>
      <c r="W170" s="6">
        <f>'CLIENT ENROLLMENT DISCHARGE '!M170</f>
        <v>0</v>
      </c>
      <c r="X170" s="76">
        <f>'CLIENT ENROLLMENT DISCHARGE '!L170</f>
        <v>0</v>
      </c>
      <c r="Y170" s="180" t="s">
        <v>0</v>
      </c>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O171+JULY!P172</f>
        <v>0</v>
      </c>
      <c r="Q171" s="59"/>
      <c r="R171" s="51"/>
      <c r="S171" s="65"/>
      <c r="T171" s="64"/>
      <c r="U171" s="67"/>
      <c r="V171" s="74"/>
      <c r="W171" s="6">
        <f>'CLIENT ENROLLMENT DISCHARGE '!M171</f>
        <v>0</v>
      </c>
      <c r="X171" s="76">
        <f>'CLIENT ENROLLMENT DISCHARGE '!L171</f>
        <v>0</v>
      </c>
      <c r="Y171" s="180" t="s">
        <v>0</v>
      </c>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O172+JULY!P173</f>
        <v>0</v>
      </c>
      <c r="Q172" s="60"/>
      <c r="R172" s="52"/>
      <c r="S172" s="66"/>
      <c r="T172" s="65"/>
      <c r="U172" s="68"/>
      <c r="V172" s="59"/>
      <c r="W172" s="6">
        <f>'CLIENT ENROLLMENT DISCHARGE '!M172</f>
        <v>0</v>
      </c>
      <c r="X172" s="76">
        <f>'CLIENT ENROLLMENT DISCHARGE '!L172</f>
        <v>0</v>
      </c>
      <c r="Y172" s="180" t="s">
        <v>0</v>
      </c>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O173+JULY!P174</f>
        <v>0</v>
      </c>
      <c r="Q173" s="59"/>
      <c r="R173" s="51"/>
      <c r="S173" s="65"/>
      <c r="T173" s="64"/>
      <c r="U173" s="67"/>
      <c r="V173" s="74"/>
      <c r="W173" s="6">
        <f>'CLIENT ENROLLMENT DISCHARGE '!M173</f>
        <v>0</v>
      </c>
      <c r="X173" s="76">
        <f>'CLIENT ENROLLMENT DISCHARGE '!L173</f>
        <v>0</v>
      </c>
      <c r="Y173" s="180" t="s">
        <v>0</v>
      </c>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O174+JULY!P175</f>
        <v>0</v>
      </c>
      <c r="Q174" s="60"/>
      <c r="R174" s="52"/>
      <c r="S174" s="66"/>
      <c r="T174" s="65"/>
      <c r="U174" s="68"/>
      <c r="V174" s="59"/>
      <c r="W174" s="6">
        <f>'CLIENT ENROLLMENT DISCHARGE '!M174</f>
        <v>0</v>
      </c>
      <c r="X174" s="76">
        <f>'CLIENT ENROLLMENT DISCHARGE '!L174</f>
        <v>0</v>
      </c>
      <c r="Y174" s="180" t="s">
        <v>0</v>
      </c>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O175+JULY!P176</f>
        <v>0</v>
      </c>
      <c r="Q175" s="59"/>
      <c r="R175" s="51"/>
      <c r="S175" s="65"/>
      <c r="T175" s="64"/>
      <c r="U175" s="67"/>
      <c r="V175" s="74"/>
      <c r="W175" s="6">
        <f>'CLIENT ENROLLMENT DISCHARGE '!M175</f>
        <v>0</v>
      </c>
      <c r="X175" s="76">
        <f>'CLIENT ENROLLMENT DISCHARGE '!L175</f>
        <v>0</v>
      </c>
      <c r="Y175" s="180" t="s">
        <v>0</v>
      </c>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O176+JULY!P177</f>
        <v>0</v>
      </c>
      <c r="Q176" s="60"/>
      <c r="R176" s="52"/>
      <c r="S176" s="66"/>
      <c r="T176" s="65"/>
      <c r="U176" s="68"/>
      <c r="V176" s="59"/>
      <c r="W176" s="6">
        <f>'CLIENT ENROLLMENT DISCHARGE '!M176</f>
        <v>0</v>
      </c>
      <c r="X176" s="76">
        <f>'CLIENT ENROLLMENT DISCHARGE '!L176</f>
        <v>0</v>
      </c>
      <c r="Y176" s="180" t="s">
        <v>0</v>
      </c>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O177+JULY!P178</f>
        <v>0</v>
      </c>
      <c r="Q177" s="59"/>
      <c r="R177" s="51"/>
      <c r="S177" s="65"/>
      <c r="T177" s="64"/>
      <c r="U177" s="67"/>
      <c r="V177" s="74"/>
      <c r="W177" s="6">
        <f>'CLIENT ENROLLMENT DISCHARGE '!M177</f>
        <v>0</v>
      </c>
      <c r="X177" s="76">
        <f>'CLIENT ENROLLMENT DISCHARGE '!L177</f>
        <v>0</v>
      </c>
      <c r="Y177" s="180" t="s">
        <v>0</v>
      </c>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O178+JULY!P179</f>
        <v>0</v>
      </c>
      <c r="Q178" s="60"/>
      <c r="R178" s="52"/>
      <c r="S178" s="66"/>
      <c r="T178" s="65"/>
      <c r="U178" s="68"/>
      <c r="V178" s="59"/>
      <c r="W178" s="6">
        <f>'CLIENT ENROLLMENT DISCHARGE '!M178</f>
        <v>0</v>
      </c>
      <c r="X178" s="76">
        <f>'CLIENT ENROLLMENT DISCHARGE '!L178</f>
        <v>0</v>
      </c>
      <c r="Y178" s="180" t="s">
        <v>0</v>
      </c>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O179+JULY!P180</f>
        <v>0</v>
      </c>
      <c r="Q179" s="59"/>
      <c r="R179" s="51"/>
      <c r="S179" s="65"/>
      <c r="T179" s="64"/>
      <c r="U179" s="67"/>
      <c r="V179" s="74"/>
      <c r="W179" s="6">
        <f>'CLIENT ENROLLMENT DISCHARGE '!M179</f>
        <v>0</v>
      </c>
      <c r="X179" s="76">
        <f>'CLIENT ENROLLMENT DISCHARGE '!L179</f>
        <v>0</v>
      </c>
      <c r="Y179" s="180" t="s">
        <v>0</v>
      </c>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O180+JULY!P181</f>
        <v>0</v>
      </c>
      <c r="Q180" s="60"/>
      <c r="R180" s="52"/>
      <c r="S180" s="66"/>
      <c r="T180" s="65"/>
      <c r="U180" s="68"/>
      <c r="V180" s="75"/>
      <c r="W180" s="6">
        <f>'CLIENT ENROLLMENT DISCHARGE '!M180</f>
        <v>0</v>
      </c>
      <c r="X180" s="76">
        <f>'CLIENT ENROLLMENT DISCHARGE '!L180</f>
        <v>0</v>
      </c>
      <c r="Y180" s="180" t="s">
        <v>0</v>
      </c>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O181+JULY!P182</f>
        <v>0</v>
      </c>
      <c r="Q181" s="59"/>
      <c r="R181" s="51"/>
      <c r="S181" s="65"/>
      <c r="T181" s="64"/>
      <c r="U181" s="67"/>
      <c r="V181" s="74"/>
      <c r="W181" s="6">
        <f>'CLIENT ENROLLMENT DISCHARGE '!M181</f>
        <v>0</v>
      </c>
      <c r="X181" s="76">
        <f>'CLIENT ENROLLMENT DISCHARGE '!L181</f>
        <v>0</v>
      </c>
      <c r="Y181" s="180" t="s">
        <v>0</v>
      </c>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O182+JULY!P183</f>
        <v>0</v>
      </c>
      <c r="Q182" s="60"/>
      <c r="R182" s="52"/>
      <c r="S182" s="66"/>
      <c r="T182" s="65"/>
      <c r="U182" s="68"/>
      <c r="V182" s="59"/>
      <c r="W182" s="6">
        <f>'CLIENT ENROLLMENT DISCHARGE '!M182</f>
        <v>0</v>
      </c>
      <c r="X182" s="76">
        <f>'CLIENT ENROLLMENT DISCHARGE '!L182</f>
        <v>0</v>
      </c>
      <c r="Y182" s="180" t="s">
        <v>0</v>
      </c>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O183+JULY!P184</f>
        <v>0</v>
      </c>
      <c r="Q183" s="59"/>
      <c r="R183" s="51"/>
      <c r="S183" s="65"/>
      <c r="T183" s="64"/>
      <c r="U183" s="67"/>
      <c r="V183" s="74"/>
      <c r="W183" s="6">
        <f>'CLIENT ENROLLMENT DISCHARGE '!M183</f>
        <v>0</v>
      </c>
      <c r="X183" s="76">
        <f>'CLIENT ENROLLMENT DISCHARGE '!L183</f>
        <v>0</v>
      </c>
      <c r="Y183" s="180" t="s">
        <v>0</v>
      </c>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O184+JULY!P185</f>
        <v>0</v>
      </c>
      <c r="Q184" s="60"/>
      <c r="R184" s="52"/>
      <c r="S184" s="66"/>
      <c r="T184" s="65"/>
      <c r="U184" s="68"/>
      <c r="V184" s="59"/>
      <c r="W184" s="6">
        <f>'CLIENT ENROLLMENT DISCHARGE '!M184</f>
        <v>0</v>
      </c>
      <c r="X184" s="76">
        <f>'CLIENT ENROLLMENT DISCHARGE '!L184</f>
        <v>0</v>
      </c>
      <c r="Y184" s="180" t="s">
        <v>0</v>
      </c>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O185+JULY!P186</f>
        <v>0</v>
      </c>
      <c r="Q185" s="59"/>
      <c r="R185" s="51"/>
      <c r="S185" s="65"/>
      <c r="T185" s="64"/>
      <c r="U185" s="67"/>
      <c r="V185" s="74"/>
      <c r="W185" s="6">
        <f>'CLIENT ENROLLMENT DISCHARGE '!M185</f>
        <v>0</v>
      </c>
      <c r="X185" s="76">
        <f>'CLIENT ENROLLMENT DISCHARGE '!L185</f>
        <v>0</v>
      </c>
      <c r="Y185" s="180" t="s">
        <v>0</v>
      </c>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O186+JULY!P187</f>
        <v>0</v>
      </c>
      <c r="Q186" s="60"/>
      <c r="R186" s="52"/>
      <c r="S186" s="66"/>
      <c r="T186" s="65"/>
      <c r="U186" s="68"/>
      <c r="V186" s="59"/>
      <c r="W186" s="6">
        <f>'CLIENT ENROLLMENT DISCHARGE '!M186</f>
        <v>0</v>
      </c>
      <c r="X186" s="76">
        <f>'CLIENT ENROLLMENT DISCHARGE '!L186</f>
        <v>0</v>
      </c>
      <c r="Y186" s="180" t="s">
        <v>0</v>
      </c>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O187+JULY!P188</f>
        <v>0</v>
      </c>
      <c r="Q187" s="59"/>
      <c r="R187" s="51"/>
      <c r="S187" s="65"/>
      <c r="T187" s="64"/>
      <c r="U187" s="67"/>
      <c r="V187" s="74"/>
      <c r="W187" s="6">
        <f>'CLIENT ENROLLMENT DISCHARGE '!M187</f>
        <v>0</v>
      </c>
      <c r="X187" s="76">
        <f>'CLIENT ENROLLMENT DISCHARGE '!L187</f>
        <v>0</v>
      </c>
      <c r="Y187" s="180" t="s">
        <v>0</v>
      </c>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O188+JULY!P189</f>
        <v>0</v>
      </c>
      <c r="Q188" s="60"/>
      <c r="R188" s="52"/>
      <c r="S188" s="66"/>
      <c r="T188" s="65"/>
      <c r="U188" s="68"/>
      <c r="V188" s="59"/>
      <c r="W188" s="6">
        <f>'CLIENT ENROLLMENT DISCHARGE '!M188</f>
        <v>0</v>
      </c>
      <c r="X188" s="76">
        <f>'CLIENT ENROLLMENT DISCHARGE '!L188</f>
        <v>0</v>
      </c>
      <c r="Y188" s="180" t="s">
        <v>0</v>
      </c>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O189+JULY!P190</f>
        <v>0</v>
      </c>
      <c r="Q189" s="59"/>
      <c r="R189" s="51"/>
      <c r="S189" s="65"/>
      <c r="T189" s="64"/>
      <c r="U189" s="67"/>
      <c r="V189" s="74"/>
      <c r="W189" s="6">
        <f>'CLIENT ENROLLMENT DISCHARGE '!M189</f>
        <v>0</v>
      </c>
      <c r="X189" s="76">
        <f>'CLIENT ENROLLMENT DISCHARGE '!L189</f>
        <v>0</v>
      </c>
      <c r="Y189" s="180" t="s">
        <v>0</v>
      </c>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O190+JULY!P191</f>
        <v>0</v>
      </c>
      <c r="Q190" s="60"/>
      <c r="R190" s="52"/>
      <c r="S190" s="66"/>
      <c r="T190" s="65"/>
      <c r="U190" s="68"/>
      <c r="V190" s="75"/>
      <c r="W190" s="6">
        <f>'CLIENT ENROLLMENT DISCHARGE '!M190</f>
        <v>0</v>
      </c>
      <c r="X190" s="76">
        <f>'CLIENT ENROLLMENT DISCHARGE '!L190</f>
        <v>0</v>
      </c>
      <c r="Y190" s="180" t="s">
        <v>0</v>
      </c>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O191+JULY!P192</f>
        <v>0</v>
      </c>
      <c r="Q191" s="59"/>
      <c r="R191" s="51"/>
      <c r="S191" s="65"/>
      <c r="T191" s="64"/>
      <c r="U191" s="67"/>
      <c r="V191" s="74"/>
      <c r="W191" s="6">
        <f>'CLIENT ENROLLMENT DISCHARGE '!M191</f>
        <v>0</v>
      </c>
      <c r="X191" s="76">
        <f>'CLIENT ENROLLMENT DISCHARGE '!L191</f>
        <v>0</v>
      </c>
      <c r="Y191" s="180" t="s">
        <v>0</v>
      </c>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O192+JULY!P193</f>
        <v>0</v>
      </c>
      <c r="Q192" s="60"/>
      <c r="R192" s="52"/>
      <c r="S192" s="66"/>
      <c r="T192" s="65"/>
      <c r="U192" s="68"/>
      <c r="V192" s="59"/>
      <c r="W192" s="6">
        <f>'CLIENT ENROLLMENT DISCHARGE '!M192</f>
        <v>0</v>
      </c>
      <c r="X192" s="76">
        <f>'CLIENT ENROLLMENT DISCHARGE '!L192</f>
        <v>0</v>
      </c>
      <c r="Y192" s="180" t="s">
        <v>0</v>
      </c>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O193+JULY!P194</f>
        <v>0</v>
      </c>
      <c r="Q193" s="59"/>
      <c r="R193" s="51"/>
      <c r="S193" s="65"/>
      <c r="T193" s="64"/>
      <c r="U193" s="67"/>
      <c r="V193" s="74"/>
      <c r="W193" s="6">
        <f>'CLIENT ENROLLMENT DISCHARGE '!M193</f>
        <v>0</v>
      </c>
      <c r="X193" s="76">
        <f>'CLIENT ENROLLMENT DISCHARGE '!L193</f>
        <v>0</v>
      </c>
      <c r="Y193" s="180" t="s">
        <v>0</v>
      </c>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O194+JULY!P195</f>
        <v>0</v>
      </c>
      <c r="Q194" s="60"/>
      <c r="R194" s="52"/>
      <c r="S194" s="66"/>
      <c r="T194" s="65"/>
      <c r="U194" s="68"/>
      <c r="V194" s="59"/>
      <c r="W194" s="6">
        <f>'CLIENT ENROLLMENT DISCHARGE '!M194</f>
        <v>0</v>
      </c>
      <c r="X194" s="76">
        <f>'CLIENT ENROLLMENT DISCHARGE '!L194</f>
        <v>0</v>
      </c>
      <c r="Y194" s="180" t="s">
        <v>0</v>
      </c>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O195+JULY!P196</f>
        <v>0</v>
      </c>
      <c r="Q195" s="59"/>
      <c r="R195" s="51"/>
      <c r="S195" s="65"/>
      <c r="T195" s="64"/>
      <c r="U195" s="67"/>
      <c r="V195" s="74"/>
      <c r="W195" s="6">
        <f>'CLIENT ENROLLMENT DISCHARGE '!M195</f>
        <v>0</v>
      </c>
      <c r="X195" s="76">
        <f>'CLIENT ENROLLMENT DISCHARGE '!L195</f>
        <v>0</v>
      </c>
      <c r="Y195" s="180" t="s">
        <v>0</v>
      </c>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O196+JULY!P197</f>
        <v>0</v>
      </c>
      <c r="Q196" s="60"/>
      <c r="R196" s="52"/>
      <c r="S196" s="66"/>
      <c r="T196" s="65"/>
      <c r="U196" s="68"/>
      <c r="V196" s="59"/>
      <c r="W196" s="6">
        <f>'CLIENT ENROLLMENT DISCHARGE '!M196</f>
        <v>0</v>
      </c>
      <c r="X196" s="76">
        <f>'CLIENT ENROLLMENT DISCHARGE '!L196</f>
        <v>0</v>
      </c>
      <c r="Y196" s="180" t="s">
        <v>0</v>
      </c>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O197+JULY!P198</f>
        <v>0</v>
      </c>
      <c r="Q197" s="59"/>
      <c r="R197" s="51"/>
      <c r="S197" s="65"/>
      <c r="T197" s="64"/>
      <c r="U197" s="67"/>
      <c r="V197" s="74"/>
      <c r="W197" s="6">
        <f>'CLIENT ENROLLMENT DISCHARGE '!M197</f>
        <v>0</v>
      </c>
      <c r="X197" s="76">
        <f>'CLIENT ENROLLMENT DISCHARGE '!L197</f>
        <v>0</v>
      </c>
      <c r="Y197" s="180" t="s">
        <v>0</v>
      </c>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O198+JULY!P199</f>
        <v>0</v>
      </c>
      <c r="Q198" s="60"/>
      <c r="R198" s="52"/>
      <c r="S198" s="66"/>
      <c r="T198" s="65"/>
      <c r="U198" s="68"/>
      <c r="V198" s="59"/>
      <c r="W198" s="6">
        <f>'CLIENT ENROLLMENT DISCHARGE '!M198</f>
        <v>0</v>
      </c>
      <c r="X198" s="76">
        <f>'CLIENT ENROLLMENT DISCHARGE '!L198</f>
        <v>0</v>
      </c>
      <c r="Y198" s="180" t="s">
        <v>0</v>
      </c>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O199+JULY!P200</f>
        <v>0</v>
      </c>
      <c r="Q199" s="59"/>
      <c r="R199" s="51"/>
      <c r="S199" s="65"/>
      <c r="T199" s="64"/>
      <c r="U199" s="67"/>
      <c r="V199" s="74"/>
      <c r="W199" s="6">
        <f>'CLIENT ENROLLMENT DISCHARGE '!M199</f>
        <v>0</v>
      </c>
      <c r="X199" s="76">
        <f>'CLIENT ENROLLMENT DISCHARGE '!L199</f>
        <v>0</v>
      </c>
      <c r="Y199" s="180" t="s">
        <v>0</v>
      </c>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O200+JULY!P201</f>
        <v>0</v>
      </c>
      <c r="Q200" s="60"/>
      <c r="R200" s="52"/>
      <c r="S200" s="66"/>
      <c r="T200" s="65"/>
      <c r="U200" s="68"/>
      <c r="V200" s="75"/>
      <c r="W200" s="6">
        <f>'CLIENT ENROLLMENT DISCHARGE '!M200</f>
        <v>0</v>
      </c>
      <c r="X200" s="76">
        <f>'CLIENT ENROLLMENT DISCHARGE '!L200</f>
        <v>0</v>
      </c>
      <c r="Y200" s="180" t="s">
        <v>0</v>
      </c>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O201+JULY!P202</f>
        <v>0</v>
      </c>
      <c r="Q201" s="59"/>
      <c r="R201" s="51"/>
      <c r="S201" s="65"/>
      <c r="T201" s="64"/>
      <c r="U201" s="67"/>
      <c r="V201" s="74"/>
      <c r="W201" s="6">
        <f>'CLIENT ENROLLMENT DISCHARGE '!M201</f>
        <v>0</v>
      </c>
      <c r="X201" s="76">
        <f>'CLIENT ENROLLMENT DISCHARGE '!L201</f>
        <v>0</v>
      </c>
      <c r="Y201" s="180" t="s">
        <v>0</v>
      </c>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O202+JULY!P203</f>
        <v>0</v>
      </c>
      <c r="Q202" s="60"/>
      <c r="R202" s="52"/>
      <c r="S202" s="66"/>
      <c r="T202" s="65"/>
      <c r="U202" s="68"/>
      <c r="V202" s="59"/>
      <c r="W202" s="6">
        <f>'CLIENT ENROLLMENT DISCHARGE '!M202</f>
        <v>0</v>
      </c>
      <c r="X202" s="76">
        <f>'CLIENT ENROLLMENT DISCHARGE '!L202</f>
        <v>0</v>
      </c>
      <c r="Y202" s="180" t="s">
        <v>0</v>
      </c>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O203+JULY!P204</f>
        <v>0</v>
      </c>
      <c r="Q203" s="59"/>
      <c r="R203" s="51"/>
      <c r="S203" s="65"/>
      <c r="T203" s="64"/>
      <c r="U203" s="67"/>
      <c r="V203" s="74"/>
      <c r="W203" s="6">
        <f>'CLIENT ENROLLMENT DISCHARGE '!M203</f>
        <v>0</v>
      </c>
      <c r="X203" s="76">
        <f>'CLIENT ENROLLMENT DISCHARGE '!L203</f>
        <v>0</v>
      </c>
      <c r="Y203" s="180" t="s">
        <v>0</v>
      </c>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O204+JULY!P205</f>
        <v>0</v>
      </c>
      <c r="Q204" s="60"/>
      <c r="R204" s="52"/>
      <c r="S204" s="66"/>
      <c r="T204" s="65"/>
      <c r="U204" s="68"/>
      <c r="V204" s="59"/>
      <c r="W204" s="6">
        <f>'CLIENT ENROLLMENT DISCHARGE '!M204</f>
        <v>0</v>
      </c>
      <c r="X204" s="76">
        <f>'CLIENT ENROLLMENT DISCHARGE '!L204</f>
        <v>0</v>
      </c>
      <c r="Y204" s="180" t="s">
        <v>0</v>
      </c>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O205+JULY!P206</f>
        <v>0</v>
      </c>
      <c r="Q205" s="59"/>
      <c r="R205" s="51"/>
      <c r="S205" s="65"/>
      <c r="T205" s="64"/>
      <c r="U205" s="67"/>
      <c r="V205" s="74"/>
      <c r="W205" s="6">
        <f>'CLIENT ENROLLMENT DISCHARGE '!M205</f>
        <v>0</v>
      </c>
      <c r="X205" s="76">
        <f>'CLIENT ENROLLMENT DISCHARGE '!L205</f>
        <v>0</v>
      </c>
      <c r="Y205" s="180" t="s">
        <v>0</v>
      </c>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O206+JULY!P207</f>
        <v>0</v>
      </c>
      <c r="Q206" s="60"/>
      <c r="R206" s="52"/>
      <c r="S206" s="66"/>
      <c r="T206" s="65"/>
      <c r="U206" s="68"/>
      <c r="V206" s="59"/>
      <c r="W206" s="6">
        <f>'CLIENT ENROLLMENT DISCHARGE '!M206</f>
        <v>0</v>
      </c>
      <c r="X206" s="76">
        <f>'CLIENT ENROLLMENT DISCHARGE '!L206</f>
        <v>0</v>
      </c>
      <c r="Y206" s="180" t="s">
        <v>0</v>
      </c>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O207+JULY!P208</f>
        <v>0</v>
      </c>
      <c r="Q207" s="59"/>
      <c r="R207" s="51"/>
      <c r="S207" s="65"/>
      <c r="T207" s="64"/>
      <c r="U207" s="67"/>
      <c r="V207" s="74"/>
      <c r="W207" s="6">
        <f>'CLIENT ENROLLMENT DISCHARGE '!M207</f>
        <v>0</v>
      </c>
      <c r="X207" s="76">
        <f>'CLIENT ENROLLMENT DISCHARGE '!L207</f>
        <v>0</v>
      </c>
      <c r="Y207" s="180" t="s">
        <v>0</v>
      </c>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O208+JULY!P209</f>
        <v>0</v>
      </c>
      <c r="Q208" s="60"/>
      <c r="R208" s="52"/>
      <c r="S208" s="66"/>
      <c r="T208" s="65"/>
      <c r="U208" s="68"/>
      <c r="V208" s="59"/>
      <c r="W208" s="6">
        <f>'CLIENT ENROLLMENT DISCHARGE '!M208</f>
        <v>0</v>
      </c>
      <c r="X208" s="76">
        <f>'CLIENT ENROLLMENT DISCHARGE '!L208</f>
        <v>0</v>
      </c>
      <c r="Y208" s="180" t="s">
        <v>0</v>
      </c>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O209+JULY!P210</f>
        <v>0</v>
      </c>
      <c r="Q209" s="59"/>
      <c r="R209" s="51"/>
      <c r="S209" s="65"/>
      <c r="T209" s="64"/>
      <c r="U209" s="67"/>
      <c r="V209" s="74"/>
      <c r="W209" s="6">
        <f>'CLIENT ENROLLMENT DISCHARGE '!M209</f>
        <v>0</v>
      </c>
      <c r="X209" s="76">
        <f>'CLIENT ENROLLMENT DISCHARGE '!L209</f>
        <v>0</v>
      </c>
      <c r="Y209" s="180" t="s">
        <v>0</v>
      </c>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O210+JULY!P211</f>
        <v>0</v>
      </c>
      <c r="Q210" s="60"/>
      <c r="R210" s="52"/>
      <c r="S210" s="66"/>
      <c r="T210" s="65"/>
      <c r="U210" s="68"/>
      <c r="V210" s="75"/>
      <c r="W210" s="6">
        <f>'CLIENT ENROLLMENT DISCHARGE '!M210</f>
        <v>0</v>
      </c>
      <c r="X210" s="76">
        <f>'CLIENT ENROLLMENT DISCHARGE '!L210</f>
        <v>0</v>
      </c>
      <c r="Y210" s="180" t="s">
        <v>0</v>
      </c>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O211+JULY!P212</f>
        <v>0</v>
      </c>
      <c r="Q211" s="59"/>
      <c r="R211" s="51"/>
      <c r="S211" s="65"/>
      <c r="T211" s="64"/>
      <c r="U211" s="67"/>
      <c r="V211" s="74"/>
      <c r="W211" s="6">
        <f>'CLIENT ENROLLMENT DISCHARGE '!M211</f>
        <v>0</v>
      </c>
      <c r="X211" s="76">
        <f>'CLIENT ENROLLMENT DISCHARGE '!L211</f>
        <v>0</v>
      </c>
      <c r="Y211" s="180" t="s">
        <v>0</v>
      </c>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O212+JULY!P213</f>
        <v>0</v>
      </c>
      <c r="Q212" s="60"/>
      <c r="R212" s="52"/>
      <c r="S212" s="66"/>
      <c r="T212" s="65"/>
      <c r="U212" s="68"/>
      <c r="V212" s="59"/>
      <c r="W212" s="6">
        <f>'CLIENT ENROLLMENT DISCHARGE '!M212</f>
        <v>0</v>
      </c>
      <c r="X212" s="76">
        <f>'CLIENT ENROLLMENT DISCHARGE '!L212</f>
        <v>0</v>
      </c>
      <c r="Y212" s="180" t="s">
        <v>0</v>
      </c>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O213+JULY!P214</f>
        <v>0</v>
      </c>
      <c r="Q213" s="59"/>
      <c r="R213" s="51"/>
      <c r="S213" s="65"/>
      <c r="T213" s="64"/>
      <c r="U213" s="67"/>
      <c r="V213" s="74"/>
      <c r="W213" s="6">
        <f>'CLIENT ENROLLMENT DISCHARGE '!M213</f>
        <v>0</v>
      </c>
      <c r="X213" s="76">
        <f>'CLIENT ENROLLMENT DISCHARGE '!L213</f>
        <v>0</v>
      </c>
      <c r="Y213" s="180" t="s">
        <v>0</v>
      </c>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O214+JULY!P215</f>
        <v>0</v>
      </c>
      <c r="Q214" s="60"/>
      <c r="R214" s="52"/>
      <c r="S214" s="66"/>
      <c r="T214" s="65"/>
      <c r="U214" s="68"/>
      <c r="V214" s="59"/>
      <c r="W214" s="6">
        <f>'CLIENT ENROLLMENT DISCHARGE '!M214</f>
        <v>0</v>
      </c>
      <c r="X214" s="76">
        <f>'CLIENT ENROLLMENT DISCHARGE '!L214</f>
        <v>0</v>
      </c>
      <c r="Y214" s="180" t="s">
        <v>0</v>
      </c>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O215+JULY!P216</f>
        <v>0</v>
      </c>
      <c r="Q215" s="59"/>
      <c r="R215" s="51"/>
      <c r="S215" s="65"/>
      <c r="T215" s="64"/>
      <c r="U215" s="67"/>
      <c r="V215" s="74"/>
      <c r="W215" s="6">
        <f>'CLIENT ENROLLMENT DISCHARGE '!M215</f>
        <v>0</v>
      </c>
      <c r="X215" s="76">
        <f>'CLIENT ENROLLMENT DISCHARGE '!L215</f>
        <v>0</v>
      </c>
      <c r="Y215" s="180" t="s">
        <v>0</v>
      </c>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O216+JULY!P217</f>
        <v>0</v>
      </c>
      <c r="Q216" s="60"/>
      <c r="R216" s="52"/>
      <c r="S216" s="66"/>
      <c r="T216" s="65"/>
      <c r="U216" s="68"/>
      <c r="V216" s="59"/>
      <c r="W216" s="6">
        <f>'CLIENT ENROLLMENT DISCHARGE '!M216</f>
        <v>0</v>
      </c>
      <c r="X216" s="76">
        <f>'CLIENT ENROLLMENT DISCHARGE '!L216</f>
        <v>0</v>
      </c>
      <c r="Y216" s="180" t="s">
        <v>0</v>
      </c>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O217+JULY!P218</f>
        <v>0</v>
      </c>
      <c r="Q217" s="59"/>
      <c r="R217" s="51"/>
      <c r="S217" s="65"/>
      <c r="T217" s="64"/>
      <c r="U217" s="67"/>
      <c r="V217" s="74"/>
      <c r="W217" s="6">
        <f>'CLIENT ENROLLMENT DISCHARGE '!M217</f>
        <v>0</v>
      </c>
      <c r="X217" s="76">
        <f>'CLIENT ENROLLMENT DISCHARGE '!L217</f>
        <v>0</v>
      </c>
      <c r="Y217" s="180" t="s">
        <v>0</v>
      </c>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O218+JULY!P219</f>
        <v>0</v>
      </c>
      <c r="Q218" s="60"/>
      <c r="R218" s="52"/>
      <c r="S218" s="66"/>
      <c r="T218" s="65"/>
      <c r="U218" s="68"/>
      <c r="V218" s="59"/>
      <c r="W218" s="6">
        <f>'CLIENT ENROLLMENT DISCHARGE '!M218</f>
        <v>0</v>
      </c>
      <c r="X218" s="76">
        <f>'CLIENT ENROLLMENT DISCHARGE '!L218</f>
        <v>0</v>
      </c>
      <c r="Y218" s="180" t="s">
        <v>0</v>
      </c>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O219+JULY!P220</f>
        <v>0</v>
      </c>
      <c r="Q219" s="59"/>
      <c r="R219" s="51"/>
      <c r="S219" s="65"/>
      <c r="T219" s="64"/>
      <c r="U219" s="67"/>
      <c r="V219" s="74"/>
      <c r="W219" s="6">
        <f>'CLIENT ENROLLMENT DISCHARGE '!M219</f>
        <v>0</v>
      </c>
      <c r="X219" s="76">
        <f>'CLIENT ENROLLMENT DISCHARGE '!L219</f>
        <v>0</v>
      </c>
      <c r="Y219" s="180" t="s">
        <v>0</v>
      </c>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O220+JULY!P221</f>
        <v>0</v>
      </c>
      <c r="Q220" s="60"/>
      <c r="R220" s="52"/>
      <c r="S220" s="66"/>
      <c r="T220" s="65"/>
      <c r="U220" s="68"/>
      <c r="V220" s="75"/>
      <c r="W220" s="6">
        <f>'CLIENT ENROLLMENT DISCHARGE '!M220</f>
        <v>0</v>
      </c>
      <c r="X220" s="76">
        <f>'CLIENT ENROLLMENT DISCHARGE '!L220</f>
        <v>0</v>
      </c>
      <c r="Y220" s="180" t="s">
        <v>0</v>
      </c>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O221+JULY!P222</f>
        <v>0</v>
      </c>
      <c r="Q221" s="59"/>
      <c r="R221" s="51"/>
      <c r="S221" s="65"/>
      <c r="T221" s="64"/>
      <c r="U221" s="67"/>
      <c r="V221" s="74"/>
      <c r="W221" s="6">
        <f>'CLIENT ENROLLMENT DISCHARGE '!M221</f>
        <v>0</v>
      </c>
      <c r="X221" s="76">
        <f>'CLIENT ENROLLMENT DISCHARGE '!L221</f>
        <v>0</v>
      </c>
      <c r="Y221" s="180" t="s">
        <v>0</v>
      </c>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O222+JULY!P223</f>
        <v>0</v>
      </c>
      <c r="Q222" s="60"/>
      <c r="R222" s="52"/>
      <c r="S222" s="66"/>
      <c r="T222" s="65"/>
      <c r="U222" s="68"/>
      <c r="V222" s="59"/>
      <c r="W222" s="6">
        <f>'CLIENT ENROLLMENT DISCHARGE '!M222</f>
        <v>0</v>
      </c>
      <c r="X222" s="76">
        <f>'CLIENT ENROLLMENT DISCHARGE '!L222</f>
        <v>0</v>
      </c>
      <c r="Y222" s="180" t="s">
        <v>0</v>
      </c>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O223+JULY!P224</f>
        <v>0</v>
      </c>
      <c r="Q223" s="59"/>
      <c r="R223" s="51"/>
      <c r="S223" s="65"/>
      <c r="T223" s="64"/>
      <c r="U223" s="67"/>
      <c r="V223" s="74"/>
      <c r="W223" s="6">
        <f>'CLIENT ENROLLMENT DISCHARGE '!M223</f>
        <v>0</v>
      </c>
      <c r="X223" s="76">
        <f>'CLIENT ENROLLMENT DISCHARGE '!L223</f>
        <v>0</v>
      </c>
      <c r="Y223" s="180" t="s">
        <v>0</v>
      </c>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O224+JULY!P225</f>
        <v>0</v>
      </c>
      <c r="Q224" s="60"/>
      <c r="R224" s="52"/>
      <c r="S224" s="66"/>
      <c r="T224" s="65"/>
      <c r="U224" s="68"/>
      <c r="V224" s="59"/>
      <c r="W224" s="6">
        <f>'CLIENT ENROLLMENT DISCHARGE '!M224</f>
        <v>0</v>
      </c>
      <c r="X224" s="76">
        <f>'CLIENT ENROLLMENT DISCHARGE '!L224</f>
        <v>0</v>
      </c>
      <c r="Y224" s="180" t="s">
        <v>0</v>
      </c>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O225+JULY!P226</f>
        <v>0</v>
      </c>
      <c r="Q225" s="59"/>
      <c r="R225" s="51"/>
      <c r="S225" s="65"/>
      <c r="T225" s="64"/>
      <c r="U225" s="67"/>
      <c r="V225" s="74"/>
      <c r="W225" s="6">
        <f>'CLIENT ENROLLMENT DISCHARGE '!M225</f>
        <v>0</v>
      </c>
      <c r="X225" s="76">
        <f>'CLIENT ENROLLMENT DISCHARGE '!L225</f>
        <v>0</v>
      </c>
      <c r="Y225" s="180" t="s">
        <v>0</v>
      </c>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O226+JULY!P227</f>
        <v>0</v>
      </c>
      <c r="Q226" s="60"/>
      <c r="R226" s="52"/>
      <c r="S226" s="66"/>
      <c r="T226" s="65"/>
      <c r="U226" s="68"/>
      <c r="V226" s="59"/>
      <c r="W226" s="6">
        <f>'CLIENT ENROLLMENT DISCHARGE '!M226</f>
        <v>0</v>
      </c>
      <c r="X226" s="76">
        <f>'CLIENT ENROLLMENT DISCHARGE '!L226</f>
        <v>0</v>
      </c>
      <c r="Y226" s="180" t="s">
        <v>0</v>
      </c>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O227+JULY!P228</f>
        <v>0</v>
      </c>
      <c r="Q227" s="59"/>
      <c r="R227" s="51"/>
      <c r="S227" s="65"/>
      <c r="T227" s="64"/>
      <c r="U227" s="67"/>
      <c r="V227" s="74"/>
      <c r="W227" s="6">
        <f>'CLIENT ENROLLMENT DISCHARGE '!M227</f>
        <v>0</v>
      </c>
      <c r="X227" s="76">
        <f>'CLIENT ENROLLMENT DISCHARGE '!L227</f>
        <v>0</v>
      </c>
      <c r="Y227" s="180" t="s">
        <v>0</v>
      </c>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O228+JULY!P229</f>
        <v>0</v>
      </c>
      <c r="Q228" s="60"/>
      <c r="R228" s="52"/>
      <c r="S228" s="66"/>
      <c r="T228" s="65"/>
      <c r="U228" s="68"/>
      <c r="V228" s="59"/>
      <c r="W228" s="6">
        <f>'CLIENT ENROLLMENT DISCHARGE '!M228</f>
        <v>0</v>
      </c>
      <c r="X228" s="76">
        <f>'CLIENT ENROLLMENT DISCHARGE '!L228</f>
        <v>0</v>
      </c>
      <c r="Y228" s="180" t="s">
        <v>0</v>
      </c>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O229+JULY!P230</f>
        <v>0</v>
      </c>
      <c r="Q229" s="59"/>
      <c r="R229" s="51"/>
      <c r="S229" s="65"/>
      <c r="T229" s="64"/>
      <c r="U229" s="67"/>
      <c r="V229" s="74"/>
      <c r="W229" s="6">
        <f>'CLIENT ENROLLMENT DISCHARGE '!M229</f>
        <v>0</v>
      </c>
      <c r="X229" s="76">
        <f>'CLIENT ENROLLMENT DISCHARGE '!L229</f>
        <v>0</v>
      </c>
      <c r="Y229" s="180" t="s">
        <v>0</v>
      </c>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O230+JULY!P231</f>
        <v>0</v>
      </c>
      <c r="Q230" s="60"/>
      <c r="R230" s="52"/>
      <c r="S230" s="66"/>
      <c r="T230" s="65"/>
      <c r="U230" s="68"/>
      <c r="V230" s="75"/>
      <c r="W230" s="6">
        <f>'CLIENT ENROLLMENT DISCHARGE '!M230</f>
        <v>0</v>
      </c>
      <c r="X230" s="76">
        <f>'CLIENT ENROLLMENT DISCHARGE '!L230</f>
        <v>0</v>
      </c>
      <c r="Y230" s="180" t="s">
        <v>0</v>
      </c>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O231+JULY!P232</f>
        <v>0</v>
      </c>
      <c r="Q231" s="59"/>
      <c r="R231" s="51"/>
      <c r="S231" s="65"/>
      <c r="T231" s="64"/>
      <c r="U231" s="67"/>
      <c r="V231" s="74"/>
      <c r="W231" s="6">
        <f>'CLIENT ENROLLMENT DISCHARGE '!M231</f>
        <v>0</v>
      </c>
      <c r="X231" s="76">
        <f>'CLIENT ENROLLMENT DISCHARGE '!L231</f>
        <v>0</v>
      </c>
      <c r="Y231" s="180" t="s">
        <v>0</v>
      </c>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O232+JULY!P233</f>
        <v>0</v>
      </c>
      <c r="Q232" s="60"/>
      <c r="R232" s="52"/>
      <c r="S232" s="66"/>
      <c r="T232" s="65"/>
      <c r="U232" s="68"/>
      <c r="V232" s="59"/>
      <c r="W232" s="6">
        <f>'CLIENT ENROLLMENT DISCHARGE '!M232</f>
        <v>0</v>
      </c>
      <c r="X232" s="76">
        <f>'CLIENT ENROLLMENT DISCHARGE '!L232</f>
        <v>0</v>
      </c>
      <c r="Y232" s="180" t="s">
        <v>0</v>
      </c>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O233+JULY!P234</f>
        <v>0</v>
      </c>
      <c r="Q233" s="59"/>
      <c r="R233" s="51"/>
      <c r="S233" s="65"/>
      <c r="T233" s="64"/>
      <c r="U233" s="67"/>
      <c r="V233" s="74"/>
      <c r="W233" s="6">
        <f>'CLIENT ENROLLMENT DISCHARGE '!M233</f>
        <v>0</v>
      </c>
      <c r="X233" s="76">
        <f>'CLIENT ENROLLMENT DISCHARGE '!L233</f>
        <v>0</v>
      </c>
      <c r="Y233" s="180" t="s">
        <v>0</v>
      </c>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O234+JULY!P235</f>
        <v>0</v>
      </c>
      <c r="Q234" s="60"/>
      <c r="R234" s="52"/>
      <c r="S234" s="66"/>
      <c r="T234" s="65"/>
      <c r="U234" s="68"/>
      <c r="V234" s="59"/>
      <c r="W234" s="6">
        <f>'CLIENT ENROLLMENT DISCHARGE '!M234</f>
        <v>0</v>
      </c>
      <c r="X234" s="76">
        <f>'CLIENT ENROLLMENT DISCHARGE '!L234</f>
        <v>0</v>
      </c>
      <c r="Y234" s="180" t="s">
        <v>0</v>
      </c>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O235+JULY!P236</f>
        <v>0</v>
      </c>
      <c r="Q235" s="59"/>
      <c r="R235" s="51"/>
      <c r="S235" s="65"/>
      <c r="T235" s="64"/>
      <c r="U235" s="67"/>
      <c r="V235" s="74"/>
      <c r="W235" s="6">
        <f>'CLIENT ENROLLMENT DISCHARGE '!M235</f>
        <v>0</v>
      </c>
      <c r="X235" s="76">
        <f>'CLIENT ENROLLMENT DISCHARGE '!L235</f>
        <v>0</v>
      </c>
      <c r="Y235" s="180" t="s">
        <v>0</v>
      </c>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O236+JULY!P237</f>
        <v>0</v>
      </c>
      <c r="Q236" s="60"/>
      <c r="R236" s="52"/>
      <c r="S236" s="66"/>
      <c r="T236" s="65"/>
      <c r="U236" s="68"/>
      <c r="V236" s="59"/>
      <c r="W236" s="6">
        <f>'CLIENT ENROLLMENT DISCHARGE '!M236</f>
        <v>0</v>
      </c>
      <c r="X236" s="76">
        <f>'CLIENT ENROLLMENT DISCHARGE '!L236</f>
        <v>0</v>
      </c>
      <c r="Y236" s="180" t="s">
        <v>0</v>
      </c>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O237+JULY!P238</f>
        <v>0</v>
      </c>
      <c r="Q237" s="59"/>
      <c r="R237" s="51"/>
      <c r="S237" s="65"/>
      <c r="T237" s="64"/>
      <c r="U237" s="67"/>
      <c r="V237" s="74"/>
      <c r="W237" s="6">
        <f>'CLIENT ENROLLMENT DISCHARGE '!M237</f>
        <v>0</v>
      </c>
      <c r="X237" s="76">
        <f>'CLIENT ENROLLMENT DISCHARGE '!L237</f>
        <v>0</v>
      </c>
      <c r="Y237" s="180" t="s">
        <v>0</v>
      </c>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O238+JULY!P239</f>
        <v>0</v>
      </c>
      <c r="Q238" s="60"/>
      <c r="R238" s="52"/>
      <c r="S238" s="66"/>
      <c r="T238" s="65"/>
      <c r="U238" s="68"/>
      <c r="V238" s="59"/>
      <c r="W238" s="6">
        <f>'CLIENT ENROLLMENT DISCHARGE '!M238</f>
        <v>0</v>
      </c>
      <c r="X238" s="76">
        <f>'CLIENT ENROLLMENT DISCHARGE '!L238</f>
        <v>0</v>
      </c>
      <c r="Y238" s="180" t="s">
        <v>0</v>
      </c>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O239+JULY!P240</f>
        <v>0</v>
      </c>
      <c r="Q239" s="59"/>
      <c r="R239" s="51"/>
      <c r="S239" s="65"/>
      <c r="T239" s="64"/>
      <c r="U239" s="67"/>
      <c r="V239" s="74"/>
      <c r="W239" s="6">
        <f>'CLIENT ENROLLMENT DISCHARGE '!M239</f>
        <v>0</v>
      </c>
      <c r="X239" s="76">
        <f>'CLIENT ENROLLMENT DISCHARGE '!L239</f>
        <v>0</v>
      </c>
      <c r="Y239" s="180" t="s">
        <v>0</v>
      </c>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O240+JULY!P241</f>
        <v>0</v>
      </c>
      <c r="Q240" s="60"/>
      <c r="R240" s="52"/>
      <c r="S240" s="66"/>
      <c r="T240" s="65"/>
      <c r="U240" s="68"/>
      <c r="V240" s="75"/>
      <c r="W240" s="6">
        <f>'CLIENT ENROLLMENT DISCHARGE '!M240</f>
        <v>0</v>
      </c>
      <c r="X240" s="76">
        <f>'CLIENT ENROLLMENT DISCHARGE '!L240</f>
        <v>0</v>
      </c>
      <c r="Y240" s="180" t="s">
        <v>0</v>
      </c>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O241+JULY!P242</f>
        <v>0</v>
      </c>
      <c r="Q241" s="59"/>
      <c r="R241" s="51"/>
      <c r="S241" s="65"/>
      <c r="T241" s="64"/>
      <c r="U241" s="67"/>
      <c r="V241" s="74"/>
      <c r="W241" s="6">
        <f>'CLIENT ENROLLMENT DISCHARGE '!M241</f>
        <v>0</v>
      </c>
      <c r="X241" s="76">
        <f>'CLIENT ENROLLMENT DISCHARGE '!L241</f>
        <v>0</v>
      </c>
      <c r="Y241" s="180" t="s">
        <v>0</v>
      </c>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O242+JULY!P243</f>
        <v>0</v>
      </c>
      <c r="Q242" s="60"/>
      <c r="R242" s="52"/>
      <c r="S242" s="66"/>
      <c r="T242" s="65"/>
      <c r="U242" s="68"/>
      <c r="V242" s="59"/>
      <c r="W242" s="6">
        <f>'CLIENT ENROLLMENT DISCHARGE '!M242</f>
        <v>0</v>
      </c>
      <c r="X242" s="76">
        <f>'CLIENT ENROLLMENT DISCHARGE '!L242</f>
        <v>0</v>
      </c>
      <c r="Y242" s="180" t="s">
        <v>0</v>
      </c>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O243+JULY!P244</f>
        <v>0</v>
      </c>
      <c r="Q243" s="59"/>
      <c r="R243" s="51"/>
      <c r="S243" s="65"/>
      <c r="T243" s="64"/>
      <c r="U243" s="67"/>
      <c r="V243" s="74"/>
      <c r="W243" s="6">
        <f>'CLIENT ENROLLMENT DISCHARGE '!M243</f>
        <v>0</v>
      </c>
      <c r="X243" s="76">
        <f>'CLIENT ENROLLMENT DISCHARGE '!L243</f>
        <v>0</v>
      </c>
      <c r="Y243" s="180" t="s">
        <v>0</v>
      </c>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O244+JULY!P245</f>
        <v>0</v>
      </c>
      <c r="Q244" s="60"/>
      <c r="R244" s="52"/>
      <c r="S244" s="66"/>
      <c r="T244" s="65"/>
      <c r="U244" s="68"/>
      <c r="V244" s="59"/>
      <c r="W244" s="6">
        <f>'CLIENT ENROLLMENT DISCHARGE '!M244</f>
        <v>0</v>
      </c>
      <c r="X244" s="76">
        <f>'CLIENT ENROLLMENT DISCHARGE '!L244</f>
        <v>0</v>
      </c>
      <c r="Y244" s="180" t="s">
        <v>0</v>
      </c>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O245+JULY!P246</f>
        <v>0</v>
      </c>
      <c r="Q245" s="59"/>
      <c r="R245" s="51"/>
      <c r="S245" s="65"/>
      <c r="T245" s="64"/>
      <c r="U245" s="67"/>
      <c r="V245" s="74"/>
      <c r="W245" s="6">
        <f>'CLIENT ENROLLMENT DISCHARGE '!M245</f>
        <v>0</v>
      </c>
      <c r="X245" s="76">
        <f>'CLIENT ENROLLMENT DISCHARGE '!L245</f>
        <v>0</v>
      </c>
      <c r="Y245" s="180" t="s">
        <v>0</v>
      </c>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O246+JULY!P247</f>
        <v>0</v>
      </c>
      <c r="Q246" s="60"/>
      <c r="R246" s="52"/>
      <c r="S246" s="66"/>
      <c r="T246" s="65"/>
      <c r="U246" s="68"/>
      <c r="V246" s="59"/>
      <c r="W246" s="6">
        <f>'CLIENT ENROLLMENT DISCHARGE '!M246</f>
        <v>0</v>
      </c>
      <c r="X246" s="76">
        <f>'CLIENT ENROLLMENT DISCHARGE '!L246</f>
        <v>0</v>
      </c>
      <c r="Y246" s="180" t="s">
        <v>0</v>
      </c>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O247+JULY!P248</f>
        <v>0</v>
      </c>
      <c r="Q247" s="59"/>
      <c r="R247" s="51"/>
      <c r="S247" s="65"/>
      <c r="T247" s="64"/>
      <c r="U247" s="67"/>
      <c r="V247" s="74"/>
      <c r="W247" s="6">
        <f>'CLIENT ENROLLMENT DISCHARGE '!M247</f>
        <v>0</v>
      </c>
      <c r="X247" s="76">
        <f>'CLIENT ENROLLMENT DISCHARGE '!L247</f>
        <v>0</v>
      </c>
      <c r="Y247" s="180" t="s">
        <v>0</v>
      </c>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O248+JULY!P249</f>
        <v>0</v>
      </c>
      <c r="Q248" s="60"/>
      <c r="R248" s="52"/>
      <c r="S248" s="66"/>
      <c r="T248" s="65"/>
      <c r="U248" s="68"/>
      <c r="V248" s="59"/>
      <c r="W248" s="6">
        <f>'CLIENT ENROLLMENT DISCHARGE '!M248</f>
        <v>0</v>
      </c>
      <c r="X248" s="76">
        <f>'CLIENT ENROLLMENT DISCHARGE '!L248</f>
        <v>0</v>
      </c>
      <c r="Y248" s="180" t="s">
        <v>0</v>
      </c>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O249+JULY!P250</f>
        <v>0</v>
      </c>
      <c r="Q249" s="59"/>
      <c r="R249" s="51"/>
      <c r="S249" s="65"/>
      <c r="T249" s="64"/>
      <c r="U249" s="67"/>
      <c r="V249" s="74"/>
      <c r="W249" s="6">
        <f>'CLIENT ENROLLMENT DISCHARGE '!M249</f>
        <v>0</v>
      </c>
      <c r="X249" s="76">
        <f>'CLIENT ENROLLMENT DISCHARGE '!L249</f>
        <v>0</v>
      </c>
      <c r="Y249" s="180" t="s">
        <v>0</v>
      </c>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O250+JULY!P251</f>
        <v>0</v>
      </c>
      <c r="Q250" s="60"/>
      <c r="R250" s="52"/>
      <c r="S250" s="66"/>
      <c r="T250" s="65"/>
      <c r="U250" s="68"/>
      <c r="V250" s="75"/>
      <c r="W250" s="6">
        <f>'CLIENT ENROLLMENT DISCHARGE '!M250</f>
        <v>0</v>
      </c>
      <c r="X250" s="76">
        <f>'CLIENT ENROLLMENT DISCHARGE '!L250</f>
        <v>0</v>
      </c>
      <c r="Y250" s="180" t="s">
        <v>0</v>
      </c>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O251+JULY!P252</f>
        <v>0</v>
      </c>
      <c r="Q251" s="59"/>
      <c r="R251" s="51"/>
      <c r="S251" s="65"/>
      <c r="T251" s="64"/>
      <c r="U251" s="67"/>
      <c r="V251" s="74"/>
      <c r="W251" s="6">
        <f>'CLIENT ENROLLMENT DISCHARGE '!M251</f>
        <v>0</v>
      </c>
      <c r="X251" s="76">
        <f>'CLIENT ENROLLMENT DISCHARGE '!L251</f>
        <v>0</v>
      </c>
      <c r="Y251" s="180" t="s">
        <v>0</v>
      </c>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O252+JULY!P253</f>
        <v>0</v>
      </c>
      <c r="Q252" s="60"/>
      <c r="R252" s="52"/>
      <c r="S252" s="66"/>
      <c r="T252" s="65"/>
      <c r="U252" s="68"/>
      <c r="V252" s="59"/>
      <c r="W252" s="6">
        <f>'CLIENT ENROLLMENT DISCHARGE '!M252</f>
        <v>0</v>
      </c>
      <c r="X252" s="76">
        <f>'CLIENT ENROLLMENT DISCHARGE '!L252</f>
        <v>0</v>
      </c>
      <c r="Y252" s="180" t="s">
        <v>0</v>
      </c>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O253+JULY!P254</f>
        <v>0</v>
      </c>
      <c r="Q253" s="59"/>
      <c r="R253" s="51"/>
      <c r="S253" s="65"/>
      <c r="T253" s="64"/>
      <c r="U253" s="67"/>
      <c r="V253" s="74"/>
      <c r="W253" s="6">
        <f>'CLIENT ENROLLMENT DISCHARGE '!M253</f>
        <v>0</v>
      </c>
      <c r="X253" s="76">
        <f>'CLIENT ENROLLMENT DISCHARGE '!L253</f>
        <v>0</v>
      </c>
      <c r="Y253" s="180" t="s">
        <v>0</v>
      </c>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O254+JULY!P255</f>
        <v>0</v>
      </c>
      <c r="Q254" s="60"/>
      <c r="R254" s="52"/>
      <c r="S254" s="66"/>
      <c r="T254" s="65"/>
      <c r="U254" s="68"/>
      <c r="V254" s="59"/>
      <c r="W254" s="6">
        <f>'CLIENT ENROLLMENT DISCHARGE '!M254</f>
        <v>0</v>
      </c>
      <c r="X254" s="76">
        <f>'CLIENT ENROLLMENT DISCHARGE '!L254</f>
        <v>0</v>
      </c>
      <c r="Y254" s="180" t="s">
        <v>0</v>
      </c>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O255+JULY!P256</f>
        <v>0</v>
      </c>
      <c r="Q255" s="59"/>
      <c r="R255" s="51"/>
      <c r="S255" s="65"/>
      <c r="T255" s="64"/>
      <c r="U255" s="67"/>
      <c r="V255" s="74"/>
      <c r="W255" s="6">
        <f>'CLIENT ENROLLMENT DISCHARGE '!M255</f>
        <v>0</v>
      </c>
      <c r="X255" s="76">
        <f>'CLIENT ENROLLMENT DISCHARGE '!L255</f>
        <v>0</v>
      </c>
      <c r="Y255" s="180" t="s">
        <v>0</v>
      </c>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O256+JULY!P257</f>
        <v>0</v>
      </c>
      <c r="Q256" s="60"/>
      <c r="R256" s="52"/>
      <c r="S256" s="66"/>
      <c r="T256" s="65"/>
      <c r="U256" s="68"/>
      <c r="V256" s="59"/>
      <c r="W256" s="6">
        <f>'CLIENT ENROLLMENT DISCHARGE '!M256</f>
        <v>0</v>
      </c>
      <c r="X256" s="76">
        <f>'CLIENT ENROLLMENT DISCHARGE '!L256</f>
        <v>0</v>
      </c>
      <c r="Y256" s="180" t="s">
        <v>0</v>
      </c>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O257+JULY!P258</f>
        <v>0</v>
      </c>
      <c r="Q257" s="59"/>
      <c r="R257" s="51"/>
      <c r="S257" s="65"/>
      <c r="T257" s="64"/>
      <c r="U257" s="67"/>
      <c r="V257" s="74"/>
      <c r="W257" s="6">
        <f>'CLIENT ENROLLMENT DISCHARGE '!M257</f>
        <v>0</v>
      </c>
      <c r="X257" s="76">
        <f>'CLIENT ENROLLMENT DISCHARGE '!L257</f>
        <v>0</v>
      </c>
      <c r="Y257" s="180" t="s">
        <v>0</v>
      </c>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O258+JULY!P259</f>
        <v>0</v>
      </c>
      <c r="Q258" s="60"/>
      <c r="R258" s="52"/>
      <c r="S258" s="66"/>
      <c r="T258" s="65"/>
      <c r="U258" s="68"/>
      <c r="V258" s="59"/>
      <c r="W258" s="6">
        <f>'CLIENT ENROLLMENT DISCHARGE '!M258</f>
        <v>0</v>
      </c>
      <c r="X258" s="76">
        <f>'CLIENT ENROLLMENT DISCHARGE '!L258</f>
        <v>0</v>
      </c>
      <c r="Y258" s="180" t="s">
        <v>0</v>
      </c>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O259+JULY!P260</f>
        <v>0</v>
      </c>
      <c r="Q259" s="59"/>
      <c r="R259" s="51"/>
      <c r="S259" s="65"/>
      <c r="T259" s="64"/>
      <c r="U259" s="67"/>
      <c r="V259" s="74"/>
      <c r="W259" s="6">
        <f>'CLIENT ENROLLMENT DISCHARGE '!M259</f>
        <v>0</v>
      </c>
      <c r="X259" s="76">
        <f>'CLIENT ENROLLMENT DISCHARGE '!L259</f>
        <v>0</v>
      </c>
      <c r="Y259" s="180" t="s">
        <v>0</v>
      </c>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O260+JULY!P261</f>
        <v>0</v>
      </c>
      <c r="Q260" s="60"/>
      <c r="R260" s="52"/>
      <c r="S260" s="66"/>
      <c r="T260" s="65"/>
      <c r="U260" s="68"/>
      <c r="V260" s="75"/>
      <c r="W260" s="6">
        <f>'CLIENT ENROLLMENT DISCHARGE '!M260</f>
        <v>0</v>
      </c>
      <c r="X260" s="76">
        <f>'CLIENT ENROLLMENT DISCHARGE '!L260</f>
        <v>0</v>
      </c>
      <c r="Y260" s="180" t="s">
        <v>0</v>
      </c>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O261+JULY!P262</f>
        <v>0</v>
      </c>
      <c r="Q261" s="59"/>
      <c r="R261" s="51"/>
      <c r="S261" s="65"/>
      <c r="T261" s="64"/>
      <c r="U261" s="67"/>
      <c r="V261" s="74"/>
      <c r="W261" s="6">
        <f>'CLIENT ENROLLMENT DISCHARGE '!M261</f>
        <v>0</v>
      </c>
      <c r="X261" s="76">
        <f>'CLIENT ENROLLMENT DISCHARGE '!L261</f>
        <v>0</v>
      </c>
      <c r="Y261" s="180" t="s">
        <v>0</v>
      </c>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O262+JULY!P263</f>
        <v>0</v>
      </c>
      <c r="Q262" s="60"/>
      <c r="R262" s="52"/>
      <c r="S262" s="66"/>
      <c r="T262" s="65"/>
      <c r="U262" s="68"/>
      <c r="V262" s="59"/>
      <c r="W262" s="6">
        <f>'CLIENT ENROLLMENT DISCHARGE '!M262</f>
        <v>0</v>
      </c>
      <c r="X262" s="76">
        <f>'CLIENT ENROLLMENT DISCHARGE '!L262</f>
        <v>0</v>
      </c>
      <c r="Y262" s="180" t="s">
        <v>0</v>
      </c>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O263+JULY!P264</f>
        <v>0</v>
      </c>
      <c r="Q263" s="59"/>
      <c r="R263" s="51"/>
      <c r="S263" s="65"/>
      <c r="T263" s="64"/>
      <c r="U263" s="67"/>
      <c r="V263" s="74"/>
      <c r="W263" s="6">
        <f>'CLIENT ENROLLMENT DISCHARGE '!M263</f>
        <v>0</v>
      </c>
      <c r="X263" s="76">
        <f>'CLIENT ENROLLMENT DISCHARGE '!L263</f>
        <v>0</v>
      </c>
      <c r="Y263" s="180" t="s">
        <v>0</v>
      </c>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O264+JULY!P265</f>
        <v>0</v>
      </c>
      <c r="Q264" s="60"/>
      <c r="R264" s="52"/>
      <c r="S264" s="66"/>
      <c r="T264" s="65"/>
      <c r="U264" s="68"/>
      <c r="V264" s="59"/>
      <c r="W264" s="6">
        <f>'CLIENT ENROLLMENT DISCHARGE '!M264</f>
        <v>0</v>
      </c>
      <c r="X264" s="76">
        <f>'CLIENT ENROLLMENT DISCHARGE '!L264</f>
        <v>0</v>
      </c>
      <c r="Y264" s="180" t="s">
        <v>0</v>
      </c>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O265+JULY!P266</f>
        <v>0</v>
      </c>
      <c r="Q265" s="59"/>
      <c r="R265" s="51"/>
      <c r="S265" s="65"/>
      <c r="T265" s="64"/>
      <c r="U265" s="67"/>
      <c r="V265" s="74"/>
      <c r="W265" s="6">
        <f>'CLIENT ENROLLMENT DISCHARGE '!M265</f>
        <v>0</v>
      </c>
      <c r="X265" s="76">
        <f>'CLIENT ENROLLMENT DISCHARGE '!L265</f>
        <v>0</v>
      </c>
      <c r="Y265" s="180" t="s">
        <v>0</v>
      </c>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O266+JULY!P267</f>
        <v>0</v>
      </c>
      <c r="Q266" s="60"/>
      <c r="R266" s="52"/>
      <c r="S266" s="66"/>
      <c r="T266" s="65"/>
      <c r="U266" s="68"/>
      <c r="V266" s="59"/>
      <c r="W266" s="6">
        <f>'CLIENT ENROLLMENT DISCHARGE '!M266</f>
        <v>0</v>
      </c>
      <c r="X266" s="76">
        <f>'CLIENT ENROLLMENT DISCHARGE '!L266</f>
        <v>0</v>
      </c>
      <c r="Y266" s="180" t="s">
        <v>0</v>
      </c>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O267+JULY!P268</f>
        <v>0</v>
      </c>
      <c r="Q267" s="59"/>
      <c r="R267" s="51"/>
      <c r="S267" s="65"/>
      <c r="T267" s="64"/>
      <c r="U267" s="67"/>
      <c r="V267" s="74"/>
      <c r="W267" s="6">
        <f>'CLIENT ENROLLMENT DISCHARGE '!M267</f>
        <v>0</v>
      </c>
      <c r="X267" s="76">
        <f>'CLIENT ENROLLMENT DISCHARGE '!L267</f>
        <v>0</v>
      </c>
      <c r="Y267" s="180" t="s">
        <v>0</v>
      </c>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O268+JULY!P269</f>
        <v>0</v>
      </c>
      <c r="Q268" s="60"/>
      <c r="R268" s="52"/>
      <c r="S268" s="66"/>
      <c r="T268" s="65"/>
      <c r="U268" s="68"/>
      <c r="V268" s="59"/>
      <c r="W268" s="6">
        <f>'CLIENT ENROLLMENT DISCHARGE '!M268</f>
        <v>0</v>
      </c>
      <c r="X268" s="76">
        <f>'CLIENT ENROLLMENT DISCHARGE '!L268</f>
        <v>0</v>
      </c>
      <c r="Y268" s="180" t="s">
        <v>0</v>
      </c>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O269+JULY!P270</f>
        <v>0</v>
      </c>
      <c r="Q269" s="59"/>
      <c r="R269" s="51"/>
      <c r="S269" s="65"/>
      <c r="T269" s="64"/>
      <c r="U269" s="67"/>
      <c r="V269" s="74"/>
      <c r="W269" s="6">
        <f>'CLIENT ENROLLMENT DISCHARGE '!M269</f>
        <v>0</v>
      </c>
      <c r="X269" s="76">
        <f>'CLIENT ENROLLMENT DISCHARGE '!L269</f>
        <v>0</v>
      </c>
      <c r="Y269" s="180" t="s">
        <v>0</v>
      </c>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O270+JULY!P271</f>
        <v>0</v>
      </c>
      <c r="Q270" s="60"/>
      <c r="R270" s="52"/>
      <c r="S270" s="66"/>
      <c r="T270" s="65"/>
      <c r="U270" s="68"/>
      <c r="V270" s="75"/>
      <c r="W270" s="6">
        <f>'CLIENT ENROLLMENT DISCHARGE '!M270</f>
        <v>0</v>
      </c>
      <c r="X270" s="76">
        <f>'CLIENT ENROLLMENT DISCHARGE '!L270</f>
        <v>0</v>
      </c>
      <c r="Y270" s="180" t="s">
        <v>0</v>
      </c>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O271+JULY!P272</f>
        <v>0</v>
      </c>
      <c r="Q271" s="59"/>
      <c r="R271" s="51"/>
      <c r="S271" s="65"/>
      <c r="T271" s="64"/>
      <c r="U271" s="67"/>
      <c r="V271" s="74"/>
      <c r="W271" s="6">
        <f>'CLIENT ENROLLMENT DISCHARGE '!M271</f>
        <v>0</v>
      </c>
      <c r="X271" s="76">
        <f>'CLIENT ENROLLMENT DISCHARGE '!L271</f>
        <v>0</v>
      </c>
      <c r="Y271" s="180" t="s">
        <v>0</v>
      </c>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O272+JULY!P273</f>
        <v>0</v>
      </c>
      <c r="Q272" s="60"/>
      <c r="R272" s="52"/>
      <c r="S272" s="66"/>
      <c r="T272" s="65"/>
      <c r="U272" s="68"/>
      <c r="V272" s="59"/>
      <c r="W272" s="6">
        <f>'CLIENT ENROLLMENT DISCHARGE '!M272</f>
        <v>0</v>
      </c>
      <c r="X272" s="76">
        <f>'CLIENT ENROLLMENT DISCHARGE '!L272</f>
        <v>0</v>
      </c>
      <c r="Y272" s="180" t="s">
        <v>0</v>
      </c>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O273+JULY!P274</f>
        <v>0</v>
      </c>
      <c r="Q273" s="59"/>
      <c r="R273" s="51"/>
      <c r="S273" s="65"/>
      <c r="T273" s="64"/>
      <c r="U273" s="67"/>
      <c r="V273" s="74"/>
      <c r="W273" s="6">
        <f>'CLIENT ENROLLMENT DISCHARGE '!M273</f>
        <v>0</v>
      </c>
      <c r="X273" s="76">
        <f>'CLIENT ENROLLMENT DISCHARGE '!L273</f>
        <v>0</v>
      </c>
      <c r="Y273" s="180" t="s">
        <v>0</v>
      </c>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O274+JULY!P275</f>
        <v>0</v>
      </c>
      <c r="Q274" s="60"/>
      <c r="R274" s="52"/>
      <c r="S274" s="66"/>
      <c r="T274" s="65"/>
      <c r="U274" s="68"/>
      <c r="V274" s="59"/>
      <c r="W274" s="6">
        <f>'CLIENT ENROLLMENT DISCHARGE '!M274</f>
        <v>0</v>
      </c>
      <c r="X274" s="76">
        <f>'CLIENT ENROLLMENT DISCHARGE '!L274</f>
        <v>0</v>
      </c>
      <c r="Y274" s="180" t="s">
        <v>0</v>
      </c>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O275+JULY!P276</f>
        <v>0</v>
      </c>
      <c r="Q275" s="59"/>
      <c r="R275" s="51"/>
      <c r="S275" s="65"/>
      <c r="T275" s="64"/>
      <c r="U275" s="67"/>
      <c r="V275" s="74"/>
      <c r="W275" s="6">
        <f>'CLIENT ENROLLMENT DISCHARGE '!M275</f>
        <v>0</v>
      </c>
      <c r="X275" s="76">
        <f>'CLIENT ENROLLMENT DISCHARGE '!L275</f>
        <v>0</v>
      </c>
      <c r="Y275" s="180" t="s">
        <v>0</v>
      </c>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O276+JULY!P277</f>
        <v>0</v>
      </c>
      <c r="Q276" s="60"/>
      <c r="R276" s="52"/>
      <c r="S276" s="66"/>
      <c r="T276" s="65"/>
      <c r="U276" s="68"/>
      <c r="V276" s="59"/>
      <c r="W276" s="6">
        <f>'CLIENT ENROLLMENT DISCHARGE '!M276</f>
        <v>0</v>
      </c>
      <c r="X276" s="76">
        <f>'CLIENT ENROLLMENT DISCHARGE '!L276</f>
        <v>0</v>
      </c>
      <c r="Y276" s="180" t="s">
        <v>0</v>
      </c>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O277+JULY!P278</f>
        <v>0</v>
      </c>
      <c r="Q277" s="59"/>
      <c r="R277" s="51"/>
      <c r="S277" s="65"/>
      <c r="T277" s="64"/>
      <c r="U277" s="67"/>
      <c r="V277" s="74"/>
      <c r="W277" s="6">
        <f>'CLIENT ENROLLMENT DISCHARGE '!M277</f>
        <v>0</v>
      </c>
      <c r="X277" s="76">
        <f>'CLIENT ENROLLMENT DISCHARGE '!L277</f>
        <v>0</v>
      </c>
      <c r="Y277" s="180" t="s">
        <v>0</v>
      </c>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O278+JULY!P279</f>
        <v>0</v>
      </c>
      <c r="Q278" s="60"/>
      <c r="R278" s="52"/>
      <c r="S278" s="66"/>
      <c r="T278" s="65"/>
      <c r="U278" s="68"/>
      <c r="V278" s="59"/>
      <c r="W278" s="6">
        <f>'CLIENT ENROLLMENT DISCHARGE '!M278</f>
        <v>0</v>
      </c>
      <c r="X278" s="76">
        <f>'CLIENT ENROLLMENT DISCHARGE '!L278</f>
        <v>0</v>
      </c>
      <c r="Y278" s="180" t="s">
        <v>0</v>
      </c>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O279+JULY!P280</f>
        <v>0</v>
      </c>
      <c r="Q279" s="59"/>
      <c r="R279" s="51"/>
      <c r="S279" s="65"/>
      <c r="T279" s="64"/>
      <c r="U279" s="67"/>
      <c r="V279" s="74"/>
      <c r="W279" s="6">
        <f>'CLIENT ENROLLMENT DISCHARGE '!M279</f>
        <v>0</v>
      </c>
      <c r="X279" s="76">
        <f>'CLIENT ENROLLMENT DISCHARGE '!L279</f>
        <v>0</v>
      </c>
      <c r="Y279" s="180" t="s">
        <v>0</v>
      </c>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O280+JULY!P281</f>
        <v>0</v>
      </c>
      <c r="Q280" s="60"/>
      <c r="R280" s="52"/>
      <c r="S280" s="66"/>
      <c r="T280" s="65"/>
      <c r="U280" s="68"/>
      <c r="V280" s="75"/>
      <c r="W280" s="6">
        <f>'CLIENT ENROLLMENT DISCHARGE '!M280</f>
        <v>0</v>
      </c>
      <c r="X280" s="76">
        <f>'CLIENT ENROLLMENT DISCHARGE '!L280</f>
        <v>0</v>
      </c>
      <c r="Y280" s="180" t="s">
        <v>0</v>
      </c>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O281+JULY!P282</f>
        <v>0</v>
      </c>
      <c r="Q281" s="59"/>
      <c r="R281" s="51"/>
      <c r="S281" s="65"/>
      <c r="T281" s="64"/>
      <c r="U281" s="67"/>
      <c r="V281" s="74"/>
      <c r="W281" s="6">
        <f>'CLIENT ENROLLMENT DISCHARGE '!M281</f>
        <v>0</v>
      </c>
      <c r="X281" s="76">
        <f>'CLIENT ENROLLMENT DISCHARGE '!L281</f>
        <v>0</v>
      </c>
      <c r="Y281" s="180" t="s">
        <v>0</v>
      </c>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O282+JULY!P283</f>
        <v>0</v>
      </c>
      <c r="Q282" s="60"/>
      <c r="R282" s="52"/>
      <c r="S282" s="66"/>
      <c r="T282" s="65"/>
      <c r="U282" s="68"/>
      <c r="V282" s="59"/>
      <c r="W282" s="6">
        <f>'CLIENT ENROLLMENT DISCHARGE '!M282</f>
        <v>0</v>
      </c>
      <c r="X282" s="76">
        <f>'CLIENT ENROLLMENT DISCHARGE '!L282</f>
        <v>0</v>
      </c>
      <c r="Y282" s="180" t="s">
        <v>0</v>
      </c>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O283+JULY!P284</f>
        <v>0</v>
      </c>
      <c r="Q283" s="59"/>
      <c r="R283" s="51"/>
      <c r="S283" s="65"/>
      <c r="T283" s="64"/>
      <c r="U283" s="67"/>
      <c r="V283" s="74"/>
      <c r="W283" s="6">
        <f>'CLIENT ENROLLMENT DISCHARGE '!M283</f>
        <v>0</v>
      </c>
      <c r="X283" s="76">
        <f>'CLIENT ENROLLMENT DISCHARGE '!L283</f>
        <v>0</v>
      </c>
      <c r="Y283" s="180" t="s">
        <v>0</v>
      </c>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O284+JULY!P285</f>
        <v>0</v>
      </c>
      <c r="Q284" s="60"/>
      <c r="R284" s="52"/>
      <c r="S284" s="66"/>
      <c r="T284" s="65"/>
      <c r="U284" s="68"/>
      <c r="V284" s="59"/>
      <c r="W284" s="6">
        <f>'CLIENT ENROLLMENT DISCHARGE '!M284</f>
        <v>0</v>
      </c>
      <c r="X284" s="76">
        <f>'CLIENT ENROLLMENT DISCHARGE '!L284</f>
        <v>0</v>
      </c>
      <c r="Y284" s="180" t="s">
        <v>0</v>
      </c>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O285+JULY!P286</f>
        <v>0</v>
      </c>
      <c r="Q285" s="59"/>
      <c r="R285" s="51"/>
      <c r="S285" s="65"/>
      <c r="T285" s="64"/>
      <c r="U285" s="67"/>
      <c r="V285" s="74"/>
      <c r="W285" s="6">
        <f>'CLIENT ENROLLMENT DISCHARGE '!M285</f>
        <v>0</v>
      </c>
      <c r="X285" s="76">
        <f>'CLIENT ENROLLMENT DISCHARGE '!L285</f>
        <v>0</v>
      </c>
      <c r="Y285" s="180" t="s">
        <v>0</v>
      </c>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O286+JULY!P287</f>
        <v>0</v>
      </c>
      <c r="Q286" s="60"/>
      <c r="R286" s="52"/>
      <c r="S286" s="66"/>
      <c r="T286" s="65"/>
      <c r="U286" s="68"/>
      <c r="V286" s="59"/>
      <c r="W286" s="6">
        <f>'CLIENT ENROLLMENT DISCHARGE '!M286</f>
        <v>0</v>
      </c>
      <c r="X286" s="76">
        <f>'CLIENT ENROLLMENT DISCHARGE '!L286</f>
        <v>0</v>
      </c>
      <c r="Y286" s="180" t="s">
        <v>0</v>
      </c>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O287+JULY!P288</f>
        <v>0</v>
      </c>
      <c r="Q287" s="59"/>
      <c r="R287" s="51"/>
      <c r="S287" s="65"/>
      <c r="T287" s="64"/>
      <c r="U287" s="67"/>
      <c r="V287" s="74"/>
      <c r="W287" s="6">
        <f>'CLIENT ENROLLMENT DISCHARGE '!M287</f>
        <v>0</v>
      </c>
      <c r="X287" s="76">
        <f>'CLIENT ENROLLMENT DISCHARGE '!L287</f>
        <v>0</v>
      </c>
      <c r="Y287" s="180" t="s">
        <v>0</v>
      </c>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O288+JULY!P289</f>
        <v>0</v>
      </c>
      <c r="Q288" s="60"/>
      <c r="R288" s="52"/>
      <c r="S288" s="66"/>
      <c r="T288" s="65"/>
      <c r="U288" s="68"/>
      <c r="V288" s="59"/>
      <c r="W288" s="6">
        <f>'CLIENT ENROLLMENT DISCHARGE '!M288</f>
        <v>0</v>
      </c>
      <c r="X288" s="76">
        <f>'CLIENT ENROLLMENT DISCHARGE '!L288</f>
        <v>0</v>
      </c>
      <c r="Y288" s="180" t="s">
        <v>0</v>
      </c>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O289+JULY!P290</f>
        <v>0</v>
      </c>
      <c r="Q289" s="59"/>
      <c r="R289" s="51"/>
      <c r="S289" s="65"/>
      <c r="T289" s="64"/>
      <c r="U289" s="67"/>
      <c r="V289" s="74"/>
      <c r="W289" s="6">
        <f>'CLIENT ENROLLMENT DISCHARGE '!M289</f>
        <v>0</v>
      </c>
      <c r="X289" s="76">
        <f>'CLIENT ENROLLMENT DISCHARGE '!L289</f>
        <v>0</v>
      </c>
      <c r="Y289" s="180" t="s">
        <v>0</v>
      </c>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O290+JULY!P291</f>
        <v>0</v>
      </c>
      <c r="Q290" s="60"/>
      <c r="R290" s="52"/>
      <c r="S290" s="66"/>
      <c r="T290" s="65"/>
      <c r="U290" s="68"/>
      <c r="V290" s="75"/>
      <c r="W290" s="6">
        <f>'CLIENT ENROLLMENT DISCHARGE '!M290</f>
        <v>0</v>
      </c>
      <c r="X290" s="76">
        <f>'CLIENT ENROLLMENT DISCHARGE '!L290</f>
        <v>0</v>
      </c>
      <c r="Y290" s="180" t="s">
        <v>0</v>
      </c>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O291+JULY!P292</f>
        <v>0</v>
      </c>
      <c r="Q291" s="59"/>
      <c r="R291" s="51"/>
      <c r="S291" s="65"/>
      <c r="T291" s="64"/>
      <c r="U291" s="67"/>
      <c r="V291" s="74"/>
      <c r="W291" s="6">
        <f>'CLIENT ENROLLMENT DISCHARGE '!M291</f>
        <v>0</v>
      </c>
      <c r="X291" s="76">
        <f>'CLIENT ENROLLMENT DISCHARGE '!L291</f>
        <v>0</v>
      </c>
      <c r="Y291" s="180" t="s">
        <v>0</v>
      </c>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O292+JULY!P293</f>
        <v>0</v>
      </c>
      <c r="Q292" s="60"/>
      <c r="R292" s="52"/>
      <c r="S292" s="66"/>
      <c r="T292" s="65"/>
      <c r="U292" s="68"/>
      <c r="V292" s="59"/>
      <c r="W292" s="6">
        <f>'CLIENT ENROLLMENT DISCHARGE '!M292</f>
        <v>0</v>
      </c>
      <c r="X292" s="76">
        <f>'CLIENT ENROLLMENT DISCHARGE '!L292</f>
        <v>0</v>
      </c>
      <c r="Y292" s="180" t="s">
        <v>0</v>
      </c>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O293+JULY!P294</f>
        <v>0</v>
      </c>
      <c r="Q293" s="59"/>
      <c r="R293" s="51"/>
      <c r="S293" s="65"/>
      <c r="T293" s="64"/>
      <c r="U293" s="67"/>
      <c r="V293" s="74"/>
      <c r="W293" s="6">
        <f>'CLIENT ENROLLMENT DISCHARGE '!M293</f>
        <v>0</v>
      </c>
      <c r="X293" s="76">
        <f>'CLIENT ENROLLMENT DISCHARGE '!L293</f>
        <v>0</v>
      </c>
      <c r="Y293" s="180" t="s">
        <v>0</v>
      </c>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O294+JULY!P295</f>
        <v>0</v>
      </c>
      <c r="Q294" s="60"/>
      <c r="R294" s="52"/>
      <c r="S294" s="66"/>
      <c r="T294" s="65"/>
      <c r="U294" s="68"/>
      <c r="V294" s="59"/>
      <c r="W294" s="6">
        <f>'CLIENT ENROLLMENT DISCHARGE '!M294</f>
        <v>0</v>
      </c>
      <c r="X294" s="76">
        <f>'CLIENT ENROLLMENT DISCHARGE '!L294</f>
        <v>0</v>
      </c>
      <c r="Y294" s="180" t="s">
        <v>0</v>
      </c>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O295+JULY!P296</f>
        <v>0</v>
      </c>
      <c r="Q295" s="59"/>
      <c r="R295" s="51"/>
      <c r="S295" s="65"/>
      <c r="T295" s="64"/>
      <c r="U295" s="67"/>
      <c r="V295" s="74"/>
      <c r="W295" s="6">
        <f>'CLIENT ENROLLMENT DISCHARGE '!M295</f>
        <v>0</v>
      </c>
      <c r="X295" s="76">
        <f>'CLIENT ENROLLMENT DISCHARGE '!L295</f>
        <v>0</v>
      </c>
      <c r="Y295" s="180" t="s">
        <v>0</v>
      </c>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O296+JULY!P297</f>
        <v>0</v>
      </c>
      <c r="Q296" s="60"/>
      <c r="R296" s="52"/>
      <c r="S296" s="66"/>
      <c r="T296" s="65"/>
      <c r="U296" s="68"/>
      <c r="V296" s="59"/>
      <c r="W296" s="6">
        <f>'CLIENT ENROLLMENT DISCHARGE '!M296</f>
        <v>0</v>
      </c>
      <c r="X296" s="76">
        <f>'CLIENT ENROLLMENT DISCHARGE '!L296</f>
        <v>0</v>
      </c>
      <c r="Y296" s="180" t="s">
        <v>0</v>
      </c>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O297+JULY!P298</f>
        <v>0</v>
      </c>
      <c r="Q297" s="59"/>
      <c r="R297" s="51"/>
      <c r="S297" s="65"/>
      <c r="T297" s="64"/>
      <c r="U297" s="67"/>
      <c r="V297" s="74"/>
      <c r="W297" s="6">
        <f>'CLIENT ENROLLMENT DISCHARGE '!M297</f>
        <v>0</v>
      </c>
      <c r="X297" s="76">
        <f>'CLIENT ENROLLMENT DISCHARGE '!L297</f>
        <v>0</v>
      </c>
      <c r="Y297" s="180" t="s">
        <v>0</v>
      </c>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O298+JULY!P299</f>
        <v>0</v>
      </c>
      <c r="Q298" s="60"/>
      <c r="R298" s="52"/>
      <c r="S298" s="66"/>
      <c r="T298" s="65"/>
      <c r="U298" s="68"/>
      <c r="V298" s="59"/>
      <c r="W298" s="6">
        <f>'CLIENT ENROLLMENT DISCHARGE '!M298</f>
        <v>0</v>
      </c>
      <c r="X298" s="76">
        <f>'CLIENT ENROLLMENT DISCHARGE '!L298</f>
        <v>0</v>
      </c>
      <c r="Y298" s="180" t="s">
        <v>0</v>
      </c>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O299+JULY!P300</f>
        <v>0</v>
      </c>
      <c r="Q299" s="59"/>
      <c r="R299" s="51"/>
      <c r="S299" s="65"/>
      <c r="T299" s="64"/>
      <c r="U299" s="67"/>
      <c r="V299" s="74"/>
      <c r="W299" s="6">
        <f>'CLIENT ENROLLMENT DISCHARGE '!M299</f>
        <v>0</v>
      </c>
      <c r="X299" s="76">
        <f>'CLIENT ENROLLMENT DISCHARGE '!L299</f>
        <v>0</v>
      </c>
      <c r="Y299" s="180" t="s">
        <v>0</v>
      </c>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O300+JULY!P301</f>
        <v>0</v>
      </c>
      <c r="Q300" s="60"/>
      <c r="R300" s="52"/>
      <c r="S300" s="66"/>
      <c r="T300" s="65"/>
      <c r="U300" s="68"/>
      <c r="V300" s="75"/>
      <c r="W300" s="6">
        <f>'CLIENT ENROLLMENT DISCHARGE '!M300</f>
        <v>0</v>
      </c>
      <c r="X300" s="76">
        <f>'CLIENT ENROLLMENT DISCHARGE '!L300</f>
        <v>0</v>
      </c>
      <c r="Y300" s="180" t="s">
        <v>0</v>
      </c>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O301+JULY!P302</f>
        <v>0</v>
      </c>
      <c r="Q301" s="59"/>
      <c r="R301" s="51"/>
      <c r="S301" s="65"/>
      <c r="T301" s="64"/>
      <c r="U301" s="67"/>
      <c r="V301" s="74"/>
      <c r="W301" s="6">
        <f>'CLIENT ENROLLMENT DISCHARGE '!M301</f>
        <v>0</v>
      </c>
      <c r="X301" s="76">
        <f>'CLIENT ENROLLMENT DISCHARGE '!L301</f>
        <v>0</v>
      </c>
      <c r="Y301" s="180" t="s">
        <v>0</v>
      </c>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O302+JULY!P303</f>
        <v>0</v>
      </c>
      <c r="Q302" s="60"/>
      <c r="R302" s="52"/>
      <c r="S302" s="66"/>
      <c r="T302" s="65"/>
      <c r="U302" s="68"/>
      <c r="V302" s="59"/>
      <c r="W302" s="6">
        <f>'CLIENT ENROLLMENT DISCHARGE '!M302</f>
        <v>0</v>
      </c>
      <c r="X302" s="76">
        <f>'CLIENT ENROLLMENT DISCHARGE '!L302</f>
        <v>0</v>
      </c>
      <c r="Y302" s="180" t="s">
        <v>0</v>
      </c>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O303+JULY!P304</f>
        <v>0</v>
      </c>
      <c r="Q303" s="59"/>
      <c r="R303" s="51"/>
      <c r="S303" s="65"/>
      <c r="T303" s="64"/>
      <c r="U303" s="67"/>
      <c r="V303" s="74"/>
      <c r="W303" s="6">
        <f>'CLIENT ENROLLMENT DISCHARGE '!M303</f>
        <v>0</v>
      </c>
      <c r="X303" s="76">
        <f>'CLIENT ENROLLMENT DISCHARGE '!L303</f>
        <v>0</v>
      </c>
      <c r="Y303" s="180" t="s">
        <v>0</v>
      </c>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O304+JULY!P305</f>
        <v>0</v>
      </c>
      <c r="Q304" s="60"/>
      <c r="R304" s="52"/>
      <c r="S304" s="66"/>
      <c r="T304" s="65"/>
      <c r="U304" s="68"/>
      <c r="V304" s="59"/>
      <c r="W304" s="6">
        <f>'CLIENT ENROLLMENT DISCHARGE '!M304</f>
        <v>0</v>
      </c>
      <c r="X304" s="76">
        <f>'CLIENT ENROLLMENT DISCHARGE '!L304</f>
        <v>0</v>
      </c>
      <c r="Y304" s="180" t="s">
        <v>0</v>
      </c>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O305+JULY!P306</f>
        <v>0</v>
      </c>
      <c r="Q305" s="59"/>
      <c r="R305" s="51"/>
      <c r="S305" s="65"/>
      <c r="T305" s="64"/>
      <c r="U305" s="67"/>
      <c r="V305" s="74"/>
      <c r="W305" s="6">
        <f>'CLIENT ENROLLMENT DISCHARGE '!M305</f>
        <v>0</v>
      </c>
      <c r="X305" s="76">
        <f>'CLIENT ENROLLMENT DISCHARGE '!L305</f>
        <v>0</v>
      </c>
      <c r="Y305" s="180" t="s">
        <v>0</v>
      </c>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O306+JULY!P307</f>
        <v>0</v>
      </c>
      <c r="Q306" s="60"/>
      <c r="R306" s="52"/>
      <c r="S306" s="66"/>
      <c r="T306" s="65"/>
      <c r="U306" s="68"/>
      <c r="V306" s="59"/>
      <c r="W306" s="6">
        <f>'CLIENT ENROLLMENT DISCHARGE '!M306</f>
        <v>0</v>
      </c>
      <c r="X306" s="76">
        <f>'CLIENT ENROLLMENT DISCHARGE '!L306</f>
        <v>0</v>
      </c>
      <c r="Y306" s="180" t="s">
        <v>0</v>
      </c>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O307+JULY!P308</f>
        <v>0</v>
      </c>
      <c r="Q307" s="59"/>
      <c r="R307" s="51"/>
      <c r="S307" s="65"/>
      <c r="T307" s="64"/>
      <c r="U307" s="67"/>
      <c r="V307" s="74"/>
      <c r="W307" s="6">
        <f>'CLIENT ENROLLMENT DISCHARGE '!M307</f>
        <v>0</v>
      </c>
      <c r="X307" s="76">
        <f>'CLIENT ENROLLMENT DISCHARGE '!L307</f>
        <v>0</v>
      </c>
      <c r="Y307" s="180" t="s">
        <v>0</v>
      </c>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O308+JULY!P309</f>
        <v>0</v>
      </c>
      <c r="Q308" s="60"/>
      <c r="R308" s="52"/>
      <c r="S308" s="66"/>
      <c r="T308" s="65"/>
      <c r="U308" s="68"/>
      <c r="V308" s="59"/>
      <c r="W308" s="6">
        <f>'CLIENT ENROLLMENT DISCHARGE '!M308</f>
        <v>0</v>
      </c>
      <c r="X308" s="76">
        <f>'CLIENT ENROLLMENT DISCHARGE '!L308</f>
        <v>0</v>
      </c>
      <c r="Y308" s="180" t="s">
        <v>0</v>
      </c>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O309+JULY!P310</f>
        <v>0</v>
      </c>
      <c r="Q309" s="59"/>
      <c r="R309" s="51"/>
      <c r="S309" s="65"/>
      <c r="T309" s="64"/>
      <c r="U309" s="67"/>
      <c r="V309" s="74"/>
      <c r="W309" s="6">
        <f>'CLIENT ENROLLMENT DISCHARGE '!M309</f>
        <v>0</v>
      </c>
      <c r="X309" s="76">
        <f>'CLIENT ENROLLMENT DISCHARGE '!L309</f>
        <v>0</v>
      </c>
      <c r="Y309" s="180" t="s">
        <v>0</v>
      </c>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O310+JULY!P311</f>
        <v>0</v>
      </c>
      <c r="Q310" s="60"/>
      <c r="R310" s="52"/>
      <c r="S310" s="66"/>
      <c r="T310" s="65"/>
      <c r="U310" s="68"/>
      <c r="V310" s="75"/>
      <c r="W310" s="6">
        <f>'CLIENT ENROLLMENT DISCHARGE '!M310</f>
        <v>0</v>
      </c>
      <c r="X310" s="76">
        <f>'CLIENT ENROLLMENT DISCHARGE '!L310</f>
        <v>0</v>
      </c>
      <c r="Y310" s="180" t="s">
        <v>0</v>
      </c>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O311+JULY!P312</f>
        <v>0</v>
      </c>
      <c r="Q311" s="59"/>
      <c r="R311" s="51"/>
      <c r="S311" s="65"/>
      <c r="T311" s="64"/>
      <c r="U311" s="67"/>
      <c r="V311" s="74"/>
      <c r="W311" s="6">
        <f>'CLIENT ENROLLMENT DISCHARGE '!M311</f>
        <v>0</v>
      </c>
      <c r="X311" s="76">
        <f>'CLIENT ENROLLMENT DISCHARGE '!L311</f>
        <v>0</v>
      </c>
      <c r="Y311" s="180" t="s">
        <v>0</v>
      </c>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O312+JULY!P313</f>
        <v>0</v>
      </c>
      <c r="Q312" s="60"/>
      <c r="R312" s="52"/>
      <c r="S312" s="66"/>
      <c r="T312" s="65"/>
      <c r="U312" s="68"/>
      <c r="V312" s="59"/>
      <c r="W312" s="6">
        <f>'CLIENT ENROLLMENT DISCHARGE '!M312</f>
        <v>0</v>
      </c>
      <c r="X312" s="76">
        <f>'CLIENT ENROLLMENT DISCHARGE '!L312</f>
        <v>0</v>
      </c>
      <c r="Y312" s="180" t="s">
        <v>0</v>
      </c>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O313+JULY!P314</f>
        <v>0</v>
      </c>
      <c r="Q313" s="59"/>
      <c r="R313" s="51"/>
      <c r="S313" s="65"/>
      <c r="T313" s="64"/>
      <c r="U313" s="67"/>
      <c r="V313" s="74"/>
      <c r="W313" s="6">
        <f>'CLIENT ENROLLMENT DISCHARGE '!M313</f>
        <v>0</v>
      </c>
      <c r="X313" s="76">
        <f>'CLIENT ENROLLMENT DISCHARGE '!L313</f>
        <v>0</v>
      </c>
      <c r="Y313" s="180" t="s">
        <v>0</v>
      </c>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O314+JULY!P315</f>
        <v>0</v>
      </c>
      <c r="Q314" s="60"/>
      <c r="R314" s="52"/>
      <c r="S314" s="66"/>
      <c r="T314" s="65"/>
      <c r="U314" s="68"/>
      <c r="V314" s="59"/>
      <c r="W314" s="6">
        <f>'CLIENT ENROLLMENT DISCHARGE '!M314</f>
        <v>0</v>
      </c>
      <c r="X314" s="76">
        <f>'CLIENT ENROLLMENT DISCHARGE '!L314</f>
        <v>0</v>
      </c>
      <c r="Y314" s="180" t="s">
        <v>0</v>
      </c>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O315+JULY!P316</f>
        <v>0</v>
      </c>
      <c r="Q315" s="59"/>
      <c r="R315" s="51"/>
      <c r="S315" s="65"/>
      <c r="T315" s="64"/>
      <c r="U315" s="67"/>
      <c r="V315" s="74"/>
      <c r="W315" s="6">
        <f>'CLIENT ENROLLMENT DISCHARGE '!M315</f>
        <v>0</v>
      </c>
      <c r="X315" s="76">
        <f>'CLIENT ENROLLMENT DISCHARGE '!L315</f>
        <v>0</v>
      </c>
      <c r="Y315" s="180" t="s">
        <v>0</v>
      </c>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O316+JULY!P317</f>
        <v>0</v>
      </c>
      <c r="Q316" s="60"/>
      <c r="R316" s="52"/>
      <c r="S316" s="66"/>
      <c r="T316" s="65"/>
      <c r="U316" s="68"/>
      <c r="V316" s="59"/>
      <c r="W316" s="6">
        <f>'CLIENT ENROLLMENT DISCHARGE '!M316</f>
        <v>0</v>
      </c>
      <c r="X316" s="76">
        <f>'CLIENT ENROLLMENT DISCHARGE '!L316</f>
        <v>0</v>
      </c>
      <c r="Y316" s="180" t="s">
        <v>0</v>
      </c>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O317+JULY!P318</f>
        <v>0</v>
      </c>
      <c r="Q317" s="59"/>
      <c r="R317" s="51"/>
      <c r="S317" s="65"/>
      <c r="T317" s="64"/>
      <c r="U317" s="67"/>
      <c r="V317" s="74"/>
      <c r="W317" s="6">
        <f>'CLIENT ENROLLMENT DISCHARGE '!M317</f>
        <v>0</v>
      </c>
      <c r="X317" s="76">
        <f>'CLIENT ENROLLMENT DISCHARGE '!L317</f>
        <v>0</v>
      </c>
      <c r="Y317" s="180" t="s">
        <v>0</v>
      </c>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O318+JULY!P319</f>
        <v>0</v>
      </c>
      <c r="Q318" s="60"/>
      <c r="R318" s="52"/>
      <c r="S318" s="66"/>
      <c r="T318" s="65"/>
      <c r="U318" s="68"/>
      <c r="V318" s="59"/>
      <c r="W318" s="6">
        <f>'CLIENT ENROLLMENT DISCHARGE '!M318</f>
        <v>0</v>
      </c>
      <c r="X318" s="76">
        <f>'CLIENT ENROLLMENT DISCHARGE '!L318</f>
        <v>0</v>
      </c>
      <c r="Y318" s="180" t="s">
        <v>0</v>
      </c>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O319+JULY!P320</f>
        <v>0</v>
      </c>
      <c r="Q319" s="59"/>
      <c r="R319" s="51"/>
      <c r="S319" s="65"/>
      <c r="T319" s="64"/>
      <c r="U319" s="67"/>
      <c r="V319" s="74"/>
      <c r="W319" s="6">
        <f>'CLIENT ENROLLMENT DISCHARGE '!M319</f>
        <v>0</v>
      </c>
      <c r="X319" s="76">
        <f>'CLIENT ENROLLMENT DISCHARGE '!L319</f>
        <v>0</v>
      </c>
      <c r="Y319" s="180" t="s">
        <v>0</v>
      </c>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O320+JULY!P321</f>
        <v>0</v>
      </c>
      <c r="Q320" s="60"/>
      <c r="R320" s="52"/>
      <c r="S320" s="66"/>
      <c r="T320" s="65"/>
      <c r="U320" s="68"/>
      <c r="V320" s="75"/>
      <c r="W320" s="6">
        <f>'CLIENT ENROLLMENT DISCHARGE '!M320</f>
        <v>0</v>
      </c>
      <c r="X320" s="76">
        <f>'CLIENT ENROLLMENT DISCHARGE '!L320</f>
        <v>0</v>
      </c>
      <c r="Y320" s="180" t="s">
        <v>0</v>
      </c>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O321+JULY!P322</f>
        <v>0</v>
      </c>
      <c r="Q321" s="59"/>
      <c r="R321" s="51"/>
      <c r="S321" s="65"/>
      <c r="T321" s="64"/>
      <c r="U321" s="67"/>
      <c r="V321" s="74"/>
      <c r="W321" s="6">
        <f>'CLIENT ENROLLMENT DISCHARGE '!M321</f>
        <v>0</v>
      </c>
      <c r="X321" s="76">
        <f>'CLIENT ENROLLMENT DISCHARGE '!L321</f>
        <v>0</v>
      </c>
      <c r="Y321" s="180" t="s">
        <v>0</v>
      </c>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O322+JULY!P323</f>
        <v>0</v>
      </c>
      <c r="Q322" s="60"/>
      <c r="R322" s="52"/>
      <c r="S322" s="66"/>
      <c r="T322" s="65"/>
      <c r="U322" s="68"/>
      <c r="V322" s="59"/>
      <c r="W322" s="6">
        <f>'CLIENT ENROLLMENT DISCHARGE '!M322</f>
        <v>0</v>
      </c>
      <c r="X322" s="76">
        <f>'CLIENT ENROLLMENT DISCHARGE '!L322</f>
        <v>0</v>
      </c>
      <c r="Y322" s="180" t="s">
        <v>0</v>
      </c>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O323+JULY!P324</f>
        <v>0</v>
      </c>
      <c r="Q323" s="59"/>
      <c r="R323" s="51"/>
      <c r="S323" s="65"/>
      <c r="T323" s="64"/>
      <c r="U323" s="67"/>
      <c r="V323" s="74"/>
      <c r="W323" s="6">
        <f>'CLIENT ENROLLMENT DISCHARGE '!M323</f>
        <v>0</v>
      </c>
      <c r="X323" s="76">
        <f>'CLIENT ENROLLMENT DISCHARGE '!L323</f>
        <v>0</v>
      </c>
      <c r="Y323" s="180" t="s">
        <v>0</v>
      </c>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O324+JULY!P325</f>
        <v>0</v>
      </c>
      <c r="Q324" s="60"/>
      <c r="R324" s="52"/>
      <c r="S324" s="66"/>
      <c r="T324" s="65"/>
      <c r="U324" s="68"/>
      <c r="V324" s="59"/>
      <c r="W324" s="6">
        <f>'CLIENT ENROLLMENT DISCHARGE '!M324</f>
        <v>0</v>
      </c>
      <c r="X324" s="76">
        <f>'CLIENT ENROLLMENT DISCHARGE '!L324</f>
        <v>0</v>
      </c>
      <c r="Y324" s="180" t="s">
        <v>0</v>
      </c>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O325+JULY!P326</f>
        <v>0</v>
      </c>
      <c r="Q325" s="59"/>
      <c r="R325" s="51"/>
      <c r="S325" s="65"/>
      <c r="T325" s="64"/>
      <c r="U325" s="67"/>
      <c r="V325" s="74"/>
      <c r="W325" s="6">
        <f>'CLIENT ENROLLMENT DISCHARGE '!M325</f>
        <v>0</v>
      </c>
      <c r="X325" s="76">
        <f>'CLIENT ENROLLMENT DISCHARGE '!L325</f>
        <v>0</v>
      </c>
      <c r="Y325" s="180" t="s">
        <v>0</v>
      </c>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O326+JULY!P327</f>
        <v>0</v>
      </c>
      <c r="Q326" s="60"/>
      <c r="R326" s="52"/>
      <c r="S326" s="66"/>
      <c r="T326" s="65"/>
      <c r="U326" s="68"/>
      <c r="V326" s="59"/>
      <c r="W326" s="6">
        <f>'CLIENT ENROLLMENT DISCHARGE '!M326</f>
        <v>0</v>
      </c>
      <c r="X326" s="76">
        <f>'CLIENT ENROLLMENT DISCHARGE '!L326</f>
        <v>0</v>
      </c>
      <c r="Y326" s="180" t="s">
        <v>0</v>
      </c>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O327+JULY!P328</f>
        <v>0</v>
      </c>
      <c r="Q327" s="59"/>
      <c r="R327" s="51"/>
      <c r="S327" s="65"/>
      <c r="T327" s="64"/>
      <c r="U327" s="67"/>
      <c r="V327" s="74"/>
      <c r="W327" s="6">
        <f>'CLIENT ENROLLMENT DISCHARGE '!M327</f>
        <v>0</v>
      </c>
      <c r="X327" s="76">
        <f>'CLIENT ENROLLMENT DISCHARGE '!L327</f>
        <v>0</v>
      </c>
      <c r="Y327" s="180" t="s">
        <v>0</v>
      </c>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O328+JULY!P329</f>
        <v>0</v>
      </c>
      <c r="Q328" s="60"/>
      <c r="R328" s="52"/>
      <c r="S328" s="66"/>
      <c r="T328" s="65"/>
      <c r="U328" s="68"/>
      <c r="V328" s="59"/>
      <c r="W328" s="6">
        <f>'CLIENT ENROLLMENT DISCHARGE '!M328</f>
        <v>0</v>
      </c>
      <c r="X328" s="76">
        <f>'CLIENT ENROLLMENT DISCHARGE '!L328</f>
        <v>0</v>
      </c>
      <c r="Y328" s="180" t="s">
        <v>0</v>
      </c>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O329+JULY!P330</f>
        <v>0</v>
      </c>
      <c r="Q329" s="59"/>
      <c r="R329" s="51"/>
      <c r="S329" s="65"/>
      <c r="T329" s="64"/>
      <c r="U329" s="67"/>
      <c r="V329" s="74"/>
      <c r="W329" s="6">
        <f>'CLIENT ENROLLMENT DISCHARGE '!M329</f>
        <v>0</v>
      </c>
      <c r="X329" s="76">
        <f>'CLIENT ENROLLMENT DISCHARGE '!L329</f>
        <v>0</v>
      </c>
      <c r="Y329" s="180" t="s">
        <v>0</v>
      </c>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O330+JULY!P331</f>
        <v>0</v>
      </c>
      <c r="Q330" s="60"/>
      <c r="R330" s="52"/>
      <c r="S330" s="66"/>
      <c r="T330" s="65"/>
      <c r="U330" s="68"/>
      <c r="V330" s="75"/>
      <c r="W330" s="6">
        <f>'CLIENT ENROLLMENT DISCHARGE '!M330</f>
        <v>0</v>
      </c>
      <c r="X330" s="76">
        <f>'CLIENT ENROLLMENT DISCHARGE '!L330</f>
        <v>0</v>
      </c>
      <c r="Y330" s="180" t="s">
        <v>0</v>
      </c>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O331+JULY!P332</f>
        <v>0</v>
      </c>
      <c r="Q331" s="59"/>
      <c r="R331" s="51"/>
      <c r="S331" s="65"/>
      <c r="T331" s="64"/>
      <c r="U331" s="67"/>
      <c r="V331" s="74"/>
      <c r="W331" s="6">
        <f>'CLIENT ENROLLMENT DISCHARGE '!M331</f>
        <v>0</v>
      </c>
      <c r="X331" s="76">
        <f>'CLIENT ENROLLMENT DISCHARGE '!L331</f>
        <v>0</v>
      </c>
      <c r="Y331" s="180" t="s">
        <v>0</v>
      </c>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O332+JULY!P333</f>
        <v>0</v>
      </c>
      <c r="Q332" s="60"/>
      <c r="R332" s="52"/>
      <c r="S332" s="66"/>
      <c r="T332" s="65"/>
      <c r="U332" s="68"/>
      <c r="V332" s="59"/>
      <c r="W332" s="6">
        <f>'CLIENT ENROLLMENT DISCHARGE '!M332</f>
        <v>0</v>
      </c>
      <c r="X332" s="76">
        <f>'CLIENT ENROLLMENT DISCHARGE '!L332</f>
        <v>0</v>
      </c>
      <c r="Y332" s="180" t="s">
        <v>0</v>
      </c>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O333+JULY!P334</f>
        <v>0</v>
      </c>
      <c r="Q333" s="59"/>
      <c r="R333" s="51"/>
      <c r="S333" s="65"/>
      <c r="T333" s="64"/>
      <c r="U333" s="67"/>
      <c r="V333" s="74"/>
      <c r="W333" s="6">
        <f>'CLIENT ENROLLMENT DISCHARGE '!M333</f>
        <v>0</v>
      </c>
      <c r="X333" s="76">
        <f>'CLIENT ENROLLMENT DISCHARGE '!L333</f>
        <v>0</v>
      </c>
      <c r="Y333" s="180" t="s">
        <v>0</v>
      </c>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O334+JULY!P335</f>
        <v>0</v>
      </c>
      <c r="Q334" s="60"/>
      <c r="R334" s="52"/>
      <c r="S334" s="66"/>
      <c r="T334" s="65"/>
      <c r="U334" s="68"/>
      <c r="V334" s="59"/>
      <c r="W334" s="6">
        <f>'CLIENT ENROLLMENT DISCHARGE '!M334</f>
        <v>0</v>
      </c>
      <c r="X334" s="76">
        <f>'CLIENT ENROLLMENT DISCHARGE '!L334</f>
        <v>0</v>
      </c>
      <c r="Y334" s="180" t="s">
        <v>0</v>
      </c>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O335+JULY!P336</f>
        <v>0</v>
      </c>
      <c r="Q335" s="59"/>
      <c r="R335" s="51"/>
      <c r="S335" s="65"/>
      <c r="T335" s="64"/>
      <c r="U335" s="67"/>
      <c r="V335" s="74"/>
      <c r="W335" s="6">
        <f>'CLIENT ENROLLMENT DISCHARGE '!M335</f>
        <v>0</v>
      </c>
      <c r="X335" s="76">
        <f>'CLIENT ENROLLMENT DISCHARGE '!L335</f>
        <v>0</v>
      </c>
      <c r="Y335" s="180" t="s">
        <v>0</v>
      </c>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O336+JULY!P337</f>
        <v>0</v>
      </c>
      <c r="Q336" s="60"/>
      <c r="R336" s="52"/>
      <c r="S336" s="66"/>
      <c r="T336" s="65"/>
      <c r="U336" s="68"/>
      <c r="V336" s="59"/>
      <c r="W336" s="6">
        <f>'CLIENT ENROLLMENT DISCHARGE '!M336</f>
        <v>0</v>
      </c>
      <c r="X336" s="76">
        <f>'CLIENT ENROLLMENT DISCHARGE '!L336</f>
        <v>0</v>
      </c>
      <c r="Y336" s="180" t="s">
        <v>0</v>
      </c>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O337+JULY!P338</f>
        <v>0</v>
      </c>
      <c r="Q337" s="59"/>
      <c r="R337" s="51"/>
      <c r="S337" s="65"/>
      <c r="T337" s="64"/>
      <c r="U337" s="67"/>
      <c r="V337" s="74"/>
      <c r="W337" s="6">
        <f>'CLIENT ENROLLMENT DISCHARGE '!M337</f>
        <v>0</v>
      </c>
      <c r="X337" s="76">
        <f>'CLIENT ENROLLMENT DISCHARGE '!L337</f>
        <v>0</v>
      </c>
      <c r="Y337" s="180" t="s">
        <v>0</v>
      </c>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O338+JULY!P339</f>
        <v>0</v>
      </c>
      <c r="Q338" s="60"/>
      <c r="R338" s="52"/>
      <c r="S338" s="66"/>
      <c r="T338" s="65"/>
      <c r="U338" s="68"/>
      <c r="V338" s="59"/>
      <c r="W338" s="6">
        <f>'CLIENT ENROLLMENT DISCHARGE '!M338</f>
        <v>0</v>
      </c>
      <c r="X338" s="76">
        <f>'CLIENT ENROLLMENT DISCHARGE '!L338</f>
        <v>0</v>
      </c>
      <c r="Y338" s="180" t="s">
        <v>0</v>
      </c>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O339+JULY!P340</f>
        <v>0</v>
      </c>
      <c r="Q339" s="59"/>
      <c r="R339" s="51"/>
      <c r="S339" s="65"/>
      <c r="T339" s="64"/>
      <c r="U339" s="67"/>
      <c r="V339" s="74"/>
      <c r="W339" s="6">
        <f>'CLIENT ENROLLMENT DISCHARGE '!M339</f>
        <v>0</v>
      </c>
      <c r="X339" s="76">
        <f>'CLIENT ENROLLMENT DISCHARGE '!L339</f>
        <v>0</v>
      </c>
      <c r="Y339" s="180" t="s">
        <v>0</v>
      </c>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O340+JULY!P341</f>
        <v>0</v>
      </c>
      <c r="Q340" s="60"/>
      <c r="R340" s="52"/>
      <c r="S340" s="66"/>
      <c r="T340" s="65"/>
      <c r="U340" s="68"/>
      <c r="V340" s="75"/>
      <c r="W340" s="6">
        <f>'CLIENT ENROLLMENT DISCHARGE '!M340</f>
        <v>0</v>
      </c>
      <c r="X340" s="76">
        <f>'CLIENT ENROLLMENT DISCHARGE '!L340</f>
        <v>0</v>
      </c>
      <c r="Y340" s="180" t="s">
        <v>0</v>
      </c>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O341+JULY!P342</f>
        <v>0</v>
      </c>
      <c r="Q341" s="59"/>
      <c r="R341" s="51"/>
      <c r="S341" s="65"/>
      <c r="T341" s="64"/>
      <c r="U341" s="67"/>
      <c r="V341" s="74"/>
      <c r="W341" s="6">
        <f>'CLIENT ENROLLMENT DISCHARGE '!M341</f>
        <v>0</v>
      </c>
      <c r="X341" s="76">
        <f>'CLIENT ENROLLMENT DISCHARGE '!L341</f>
        <v>0</v>
      </c>
      <c r="Y341" s="180" t="s">
        <v>0</v>
      </c>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O342+JULY!P343</f>
        <v>0</v>
      </c>
      <c r="Q342" s="60"/>
      <c r="R342" s="52"/>
      <c r="S342" s="66"/>
      <c r="T342" s="65"/>
      <c r="U342" s="68"/>
      <c r="V342" s="59"/>
      <c r="W342" s="6">
        <f>'CLIENT ENROLLMENT DISCHARGE '!M342</f>
        <v>0</v>
      </c>
      <c r="X342" s="76">
        <f>'CLIENT ENROLLMENT DISCHARGE '!L342</f>
        <v>0</v>
      </c>
      <c r="Y342" s="180" t="s">
        <v>0</v>
      </c>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O343+JULY!P344</f>
        <v>0</v>
      </c>
      <c r="Q343" s="59"/>
      <c r="R343" s="51"/>
      <c r="S343" s="65"/>
      <c r="T343" s="64"/>
      <c r="U343" s="67"/>
      <c r="V343" s="74"/>
      <c r="W343" s="6">
        <f>'CLIENT ENROLLMENT DISCHARGE '!M343</f>
        <v>0</v>
      </c>
      <c r="X343" s="76">
        <f>'CLIENT ENROLLMENT DISCHARGE '!L343</f>
        <v>0</v>
      </c>
      <c r="Y343" s="180" t="s">
        <v>0</v>
      </c>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O344+JULY!P345</f>
        <v>0</v>
      </c>
      <c r="Q344" s="60"/>
      <c r="R344" s="52"/>
      <c r="S344" s="66"/>
      <c r="T344" s="65"/>
      <c r="U344" s="68"/>
      <c r="V344" s="59"/>
      <c r="W344" s="6">
        <f>'CLIENT ENROLLMENT DISCHARGE '!M344</f>
        <v>0</v>
      </c>
      <c r="X344" s="76">
        <f>'CLIENT ENROLLMENT DISCHARGE '!L344</f>
        <v>0</v>
      </c>
      <c r="Y344" s="180" t="s">
        <v>0</v>
      </c>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O345+JULY!P346</f>
        <v>0</v>
      </c>
      <c r="Q345" s="59"/>
      <c r="R345" s="51"/>
      <c r="S345" s="65"/>
      <c r="T345" s="64"/>
      <c r="U345" s="67"/>
      <c r="V345" s="74"/>
      <c r="W345" s="6">
        <f>'CLIENT ENROLLMENT DISCHARGE '!M345</f>
        <v>0</v>
      </c>
      <c r="X345" s="76">
        <f>'CLIENT ENROLLMENT DISCHARGE '!L345</f>
        <v>0</v>
      </c>
      <c r="Y345" s="180" t="s">
        <v>0</v>
      </c>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O346+JULY!P347</f>
        <v>0</v>
      </c>
      <c r="Q346" s="60"/>
      <c r="R346" s="52"/>
      <c r="S346" s="66"/>
      <c r="T346" s="65"/>
      <c r="U346" s="68"/>
      <c r="V346" s="59"/>
      <c r="W346" s="6">
        <f>'CLIENT ENROLLMENT DISCHARGE '!M346</f>
        <v>0</v>
      </c>
      <c r="X346" s="76">
        <f>'CLIENT ENROLLMENT DISCHARGE '!L346</f>
        <v>0</v>
      </c>
      <c r="Y346" s="180" t="s">
        <v>0</v>
      </c>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O347+JULY!P348</f>
        <v>0</v>
      </c>
      <c r="Q347" s="59"/>
      <c r="R347" s="51"/>
      <c r="S347" s="65"/>
      <c r="T347" s="64"/>
      <c r="U347" s="67"/>
      <c r="V347" s="74"/>
      <c r="W347" s="6">
        <f>'CLIENT ENROLLMENT DISCHARGE '!M347</f>
        <v>0</v>
      </c>
      <c r="X347" s="76">
        <f>'CLIENT ENROLLMENT DISCHARGE '!L347</f>
        <v>0</v>
      </c>
      <c r="Y347" s="180" t="s">
        <v>0</v>
      </c>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O348+JULY!P349</f>
        <v>0</v>
      </c>
      <c r="Q348" s="60"/>
      <c r="R348" s="52"/>
      <c r="S348" s="66"/>
      <c r="T348" s="65"/>
      <c r="U348" s="68"/>
      <c r="V348" s="59"/>
      <c r="W348" s="6">
        <f>'CLIENT ENROLLMENT DISCHARGE '!M348</f>
        <v>0</v>
      </c>
      <c r="X348" s="76">
        <f>'CLIENT ENROLLMENT DISCHARGE '!L348</f>
        <v>0</v>
      </c>
      <c r="Y348" s="180" t="s">
        <v>0</v>
      </c>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O349+JULY!P350</f>
        <v>0</v>
      </c>
      <c r="Q349" s="59"/>
      <c r="R349" s="51"/>
      <c r="S349" s="65"/>
      <c r="T349" s="64"/>
      <c r="U349" s="67"/>
      <c r="V349" s="74"/>
      <c r="W349" s="6">
        <f>'CLIENT ENROLLMENT DISCHARGE '!M349</f>
        <v>0</v>
      </c>
      <c r="X349" s="76">
        <f>'CLIENT ENROLLMENT DISCHARGE '!L349</f>
        <v>0</v>
      </c>
      <c r="Y349" s="180" t="s">
        <v>0</v>
      </c>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O350+JULY!P351</f>
        <v>0</v>
      </c>
      <c r="Q350" s="60"/>
      <c r="R350" s="52"/>
      <c r="S350" s="66"/>
      <c r="T350" s="65"/>
      <c r="U350" s="68"/>
      <c r="V350" s="75"/>
      <c r="W350" s="6">
        <f>'CLIENT ENROLLMENT DISCHARGE '!M350</f>
        <v>0</v>
      </c>
      <c r="X350" s="76">
        <f>'CLIENT ENROLLMENT DISCHARGE '!L350</f>
        <v>0</v>
      </c>
      <c r="Y350" s="180" t="s">
        <v>0</v>
      </c>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O351+JULY!P352</f>
        <v>0</v>
      </c>
      <c r="Q351" s="59"/>
      <c r="R351" s="51"/>
      <c r="S351" s="65"/>
      <c r="T351" s="64"/>
      <c r="U351" s="67"/>
      <c r="V351" s="74"/>
      <c r="W351" s="6">
        <f>'CLIENT ENROLLMENT DISCHARGE '!M351</f>
        <v>0</v>
      </c>
      <c r="X351" s="76">
        <f>'CLIENT ENROLLMENT DISCHARGE '!L351</f>
        <v>0</v>
      </c>
      <c r="Y351" s="180" t="s">
        <v>0</v>
      </c>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O352+JULY!P353</f>
        <v>0</v>
      </c>
      <c r="Q352" s="60"/>
      <c r="R352" s="52"/>
      <c r="S352" s="66"/>
      <c r="T352" s="65"/>
      <c r="U352" s="68"/>
      <c r="V352" s="59"/>
      <c r="W352" s="6">
        <f>'CLIENT ENROLLMENT DISCHARGE '!M352</f>
        <v>0</v>
      </c>
      <c r="X352" s="76">
        <f>'CLIENT ENROLLMENT DISCHARGE '!L352</f>
        <v>0</v>
      </c>
      <c r="Y352" s="180" t="s">
        <v>0</v>
      </c>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O353+JULY!P354</f>
        <v>0</v>
      </c>
      <c r="Q353" s="59"/>
      <c r="R353" s="51"/>
      <c r="S353" s="65"/>
      <c r="T353" s="64"/>
      <c r="U353" s="67"/>
      <c r="V353" s="74"/>
      <c r="W353" s="6">
        <f>'CLIENT ENROLLMENT DISCHARGE '!M353</f>
        <v>0</v>
      </c>
      <c r="X353" s="76">
        <f>'CLIENT ENROLLMENT DISCHARGE '!L353</f>
        <v>0</v>
      </c>
      <c r="Y353" s="180" t="s">
        <v>0</v>
      </c>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O354+JULY!P355</f>
        <v>0</v>
      </c>
      <c r="Q354" s="60"/>
      <c r="R354" s="52"/>
      <c r="S354" s="66"/>
      <c r="T354" s="65"/>
      <c r="U354" s="68"/>
      <c r="V354" s="59"/>
      <c r="W354" s="6">
        <f>'CLIENT ENROLLMENT DISCHARGE '!M354</f>
        <v>0</v>
      </c>
      <c r="X354" s="76">
        <f>'CLIENT ENROLLMENT DISCHARGE '!L354</f>
        <v>0</v>
      </c>
      <c r="Y354" s="180" t="s">
        <v>0</v>
      </c>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O355+JULY!P356</f>
        <v>0</v>
      </c>
      <c r="Q355" s="59"/>
      <c r="R355" s="51"/>
      <c r="S355" s="65"/>
      <c r="T355" s="64"/>
      <c r="U355" s="67"/>
      <c r="V355" s="74"/>
      <c r="W355" s="6">
        <f>'CLIENT ENROLLMENT DISCHARGE '!M355</f>
        <v>0</v>
      </c>
      <c r="X355" s="76">
        <f>'CLIENT ENROLLMENT DISCHARGE '!L355</f>
        <v>0</v>
      </c>
      <c r="Y355" s="180" t="s">
        <v>0</v>
      </c>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O356+JULY!P357</f>
        <v>0</v>
      </c>
      <c r="Q356" s="60"/>
      <c r="R356" s="52"/>
      <c r="S356" s="66"/>
      <c r="T356" s="65"/>
      <c r="U356" s="68"/>
      <c r="V356" s="59"/>
      <c r="W356" s="6">
        <f>'CLIENT ENROLLMENT DISCHARGE '!M356</f>
        <v>0</v>
      </c>
      <c r="X356" s="76">
        <f>'CLIENT ENROLLMENT DISCHARGE '!L356</f>
        <v>0</v>
      </c>
      <c r="Y356" s="180" t="s">
        <v>0</v>
      </c>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O357+JULY!P358</f>
        <v>0</v>
      </c>
      <c r="Q357" s="59"/>
      <c r="R357" s="51"/>
      <c r="S357" s="65"/>
      <c r="T357" s="64"/>
      <c r="U357" s="67"/>
      <c r="V357" s="74"/>
      <c r="W357" s="6">
        <f>'CLIENT ENROLLMENT DISCHARGE '!M357</f>
        <v>0</v>
      </c>
      <c r="X357" s="76">
        <f>'CLIENT ENROLLMENT DISCHARGE '!L357</f>
        <v>0</v>
      </c>
      <c r="Y357" s="180" t="s">
        <v>0</v>
      </c>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O358+JULY!P359</f>
        <v>0</v>
      </c>
      <c r="Q358" s="60"/>
      <c r="R358" s="52"/>
      <c r="S358" s="66"/>
      <c r="T358" s="65"/>
      <c r="U358" s="68"/>
      <c r="V358" s="59"/>
      <c r="W358" s="6">
        <f>'CLIENT ENROLLMENT DISCHARGE '!M358</f>
        <v>0</v>
      </c>
      <c r="X358" s="76">
        <f>'CLIENT ENROLLMENT DISCHARGE '!L358</f>
        <v>0</v>
      </c>
      <c r="Y358" s="180" t="s">
        <v>0</v>
      </c>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O359+JULY!P360</f>
        <v>0</v>
      </c>
      <c r="Q359" s="59"/>
      <c r="R359" s="51"/>
      <c r="S359" s="65"/>
      <c r="T359" s="64"/>
      <c r="U359" s="67"/>
      <c r="V359" s="74"/>
      <c r="W359" s="6">
        <f>'CLIENT ENROLLMENT DISCHARGE '!M359</f>
        <v>0</v>
      </c>
      <c r="X359" s="76">
        <f>'CLIENT ENROLLMENT DISCHARGE '!L359</f>
        <v>0</v>
      </c>
      <c r="Y359" s="180" t="s">
        <v>0</v>
      </c>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O360+JULY!P361</f>
        <v>0</v>
      </c>
      <c r="Q360" s="60"/>
      <c r="R360" s="52"/>
      <c r="S360" s="66"/>
      <c r="T360" s="65"/>
      <c r="U360" s="68"/>
      <c r="V360" s="75"/>
      <c r="W360" s="6">
        <f>'CLIENT ENROLLMENT DISCHARGE '!M360</f>
        <v>0</v>
      </c>
      <c r="X360" s="76">
        <f>'CLIENT ENROLLMENT DISCHARGE '!L360</f>
        <v>0</v>
      </c>
      <c r="Y360" s="180" t="s">
        <v>0</v>
      </c>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O361+JULY!P362</f>
        <v>0</v>
      </c>
      <c r="Q361" s="59"/>
      <c r="R361" s="51"/>
      <c r="S361" s="65"/>
      <c r="T361" s="64"/>
      <c r="U361" s="67"/>
      <c r="V361" s="74"/>
      <c r="W361" s="6">
        <f>'CLIENT ENROLLMENT DISCHARGE '!M361</f>
        <v>0</v>
      </c>
      <c r="X361" s="76">
        <f>'CLIENT ENROLLMENT DISCHARGE '!L361</f>
        <v>0</v>
      </c>
      <c r="Y361" s="180" t="s">
        <v>0</v>
      </c>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O362+JULY!P363</f>
        <v>0</v>
      </c>
      <c r="Q362" s="60"/>
      <c r="R362" s="52"/>
      <c r="S362" s="66"/>
      <c r="T362" s="65"/>
      <c r="U362" s="68"/>
      <c r="V362" s="59"/>
      <c r="W362" s="6">
        <f>'CLIENT ENROLLMENT DISCHARGE '!M362</f>
        <v>0</v>
      </c>
      <c r="X362" s="76">
        <f>'CLIENT ENROLLMENT DISCHARGE '!L362</f>
        <v>0</v>
      </c>
      <c r="Y362" s="180" t="s">
        <v>0</v>
      </c>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O363+JULY!P364</f>
        <v>0</v>
      </c>
      <c r="Q363" s="59"/>
      <c r="R363" s="51"/>
      <c r="S363" s="65"/>
      <c r="T363" s="64"/>
      <c r="U363" s="67"/>
      <c r="V363" s="74"/>
      <c r="W363" s="6">
        <f>'CLIENT ENROLLMENT DISCHARGE '!M363</f>
        <v>0</v>
      </c>
      <c r="X363" s="76">
        <f>'CLIENT ENROLLMENT DISCHARGE '!L363</f>
        <v>0</v>
      </c>
      <c r="Y363" s="180" t="s">
        <v>0</v>
      </c>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O364+JULY!P365</f>
        <v>0</v>
      </c>
      <c r="Q364" s="60"/>
      <c r="R364" s="52"/>
      <c r="S364" s="66"/>
      <c r="T364" s="65"/>
      <c r="U364" s="68"/>
      <c r="V364" s="59"/>
      <c r="W364" s="6">
        <f>'CLIENT ENROLLMENT DISCHARGE '!M364</f>
        <v>0</v>
      </c>
      <c r="X364" s="76">
        <f>'CLIENT ENROLLMENT DISCHARGE '!L364</f>
        <v>0</v>
      </c>
      <c r="Y364" s="180" t="s">
        <v>0</v>
      </c>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O365+JULY!P366</f>
        <v>0</v>
      </c>
      <c r="Q365" s="59"/>
      <c r="R365" s="51"/>
      <c r="S365" s="65"/>
      <c r="T365" s="64"/>
      <c r="U365" s="67"/>
      <c r="V365" s="74"/>
      <c r="W365" s="6">
        <f>'CLIENT ENROLLMENT DISCHARGE '!M365</f>
        <v>0</v>
      </c>
      <c r="X365" s="76">
        <f>'CLIENT ENROLLMENT DISCHARGE '!L365</f>
        <v>0</v>
      </c>
      <c r="Y365" s="180" t="s">
        <v>0</v>
      </c>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O366+JULY!P367</f>
        <v>0</v>
      </c>
      <c r="Q366" s="60"/>
      <c r="R366" s="52"/>
      <c r="S366" s="66"/>
      <c r="T366" s="65"/>
      <c r="U366" s="68"/>
      <c r="V366" s="59"/>
      <c r="W366" s="6">
        <f>'CLIENT ENROLLMENT DISCHARGE '!M366</f>
        <v>0</v>
      </c>
      <c r="X366" s="76">
        <f>'CLIENT ENROLLMENT DISCHARGE '!L366</f>
        <v>0</v>
      </c>
      <c r="Y366" s="180" t="s">
        <v>0</v>
      </c>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O367+JULY!P368</f>
        <v>0</v>
      </c>
      <c r="Q367" s="59"/>
      <c r="R367" s="51"/>
      <c r="S367" s="65"/>
      <c r="T367" s="64"/>
      <c r="U367" s="67"/>
      <c r="V367" s="74"/>
      <c r="W367" s="6">
        <f>'CLIENT ENROLLMENT DISCHARGE '!M367</f>
        <v>0</v>
      </c>
      <c r="X367" s="76">
        <f>'CLIENT ENROLLMENT DISCHARGE '!L367</f>
        <v>0</v>
      </c>
      <c r="Y367" s="180" t="s">
        <v>0</v>
      </c>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O368+JULY!P369</f>
        <v>0</v>
      </c>
      <c r="Q368" s="60"/>
      <c r="R368" s="52"/>
      <c r="S368" s="66"/>
      <c r="T368" s="65"/>
      <c r="U368" s="68"/>
      <c r="V368" s="59"/>
      <c r="W368" s="6">
        <f>'CLIENT ENROLLMENT DISCHARGE '!M368</f>
        <v>0</v>
      </c>
      <c r="X368" s="76">
        <f>'CLIENT ENROLLMENT DISCHARGE '!L368</f>
        <v>0</v>
      </c>
      <c r="Y368" s="180" t="s">
        <v>0</v>
      </c>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O369+JULY!P370</f>
        <v>0</v>
      </c>
      <c r="Q369" s="59"/>
      <c r="R369" s="51"/>
      <c r="S369" s="65"/>
      <c r="T369" s="64"/>
      <c r="U369" s="67"/>
      <c r="V369" s="74"/>
      <c r="W369" s="6">
        <f>'CLIENT ENROLLMENT DISCHARGE '!M369</f>
        <v>0</v>
      </c>
      <c r="X369" s="76">
        <f>'CLIENT ENROLLMENT DISCHARGE '!L369</f>
        <v>0</v>
      </c>
      <c r="Y369" s="180" t="s">
        <v>0</v>
      </c>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O370+JULY!P371</f>
        <v>0</v>
      </c>
      <c r="Q370" s="60"/>
      <c r="R370" s="52"/>
      <c r="S370" s="66"/>
      <c r="T370" s="65"/>
      <c r="U370" s="68"/>
      <c r="V370" s="75"/>
      <c r="W370" s="6">
        <f>'CLIENT ENROLLMENT DISCHARGE '!M370</f>
        <v>0</v>
      </c>
      <c r="X370" s="76">
        <f>'CLIENT ENROLLMENT DISCHARGE '!L370</f>
        <v>0</v>
      </c>
      <c r="Y370" s="180" t="s">
        <v>0</v>
      </c>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O371+JULY!P372</f>
        <v>0</v>
      </c>
      <c r="Q371" s="59"/>
      <c r="R371" s="51"/>
      <c r="S371" s="65"/>
      <c r="T371" s="64"/>
      <c r="U371" s="67"/>
      <c r="V371" s="74"/>
      <c r="W371" s="6">
        <f>'CLIENT ENROLLMENT DISCHARGE '!M371</f>
        <v>0</v>
      </c>
      <c r="X371" s="76">
        <f>'CLIENT ENROLLMENT DISCHARGE '!L371</f>
        <v>0</v>
      </c>
      <c r="Y371" s="180" t="s">
        <v>0</v>
      </c>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O372+JULY!P373</f>
        <v>0</v>
      </c>
      <c r="Q372" s="60"/>
      <c r="R372" s="52"/>
      <c r="S372" s="66"/>
      <c r="T372" s="65"/>
      <c r="U372" s="68"/>
      <c r="V372" s="59"/>
      <c r="W372" s="6">
        <f>'CLIENT ENROLLMENT DISCHARGE '!M372</f>
        <v>0</v>
      </c>
      <c r="X372" s="76">
        <f>'CLIENT ENROLLMENT DISCHARGE '!L372</f>
        <v>0</v>
      </c>
      <c r="Y372" s="180" t="s">
        <v>0</v>
      </c>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O373+JULY!P374</f>
        <v>0</v>
      </c>
      <c r="Q373" s="59"/>
      <c r="R373" s="51"/>
      <c r="S373" s="65"/>
      <c r="T373" s="64"/>
      <c r="U373" s="67"/>
      <c r="V373" s="74"/>
      <c r="W373" s="6">
        <f>'CLIENT ENROLLMENT DISCHARGE '!M373</f>
        <v>0</v>
      </c>
      <c r="X373" s="76">
        <f>'CLIENT ENROLLMENT DISCHARGE '!L373</f>
        <v>0</v>
      </c>
      <c r="Y373" s="180" t="s">
        <v>0</v>
      </c>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O374+JULY!P375</f>
        <v>0</v>
      </c>
      <c r="Q374" s="60"/>
      <c r="R374" s="52"/>
      <c r="S374" s="66"/>
      <c r="T374" s="65"/>
      <c r="U374" s="68"/>
      <c r="V374" s="59"/>
      <c r="W374" s="6">
        <f>'CLIENT ENROLLMENT DISCHARGE '!M374</f>
        <v>0</v>
      </c>
      <c r="X374" s="76">
        <f>'CLIENT ENROLLMENT DISCHARGE '!L374</f>
        <v>0</v>
      </c>
      <c r="Y374" s="180" t="s">
        <v>0</v>
      </c>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O375+JULY!P376</f>
        <v>0</v>
      </c>
      <c r="Q375" s="59"/>
      <c r="R375" s="51"/>
      <c r="S375" s="65"/>
      <c r="T375" s="64"/>
      <c r="U375" s="67"/>
      <c r="V375" s="74"/>
      <c r="W375" s="6">
        <f>'CLIENT ENROLLMENT DISCHARGE '!M375</f>
        <v>0</v>
      </c>
      <c r="X375" s="76">
        <f>'CLIENT ENROLLMENT DISCHARGE '!L375</f>
        <v>0</v>
      </c>
      <c r="Y375" s="180" t="s">
        <v>0</v>
      </c>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O376+JULY!P377</f>
        <v>0</v>
      </c>
      <c r="Q376" s="60"/>
      <c r="R376" s="52"/>
      <c r="S376" s="66"/>
      <c r="T376" s="65"/>
      <c r="U376" s="68"/>
      <c r="V376" s="59"/>
      <c r="W376" s="6">
        <f>'CLIENT ENROLLMENT DISCHARGE '!M376</f>
        <v>0</v>
      </c>
      <c r="X376" s="76">
        <f>'CLIENT ENROLLMENT DISCHARGE '!L376</f>
        <v>0</v>
      </c>
      <c r="Y376" s="180" t="s">
        <v>0</v>
      </c>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O377+JULY!P378</f>
        <v>0</v>
      </c>
      <c r="Q377" s="59"/>
      <c r="R377" s="51"/>
      <c r="S377" s="65"/>
      <c r="T377" s="64"/>
      <c r="U377" s="67"/>
      <c r="V377" s="74"/>
      <c r="W377" s="6">
        <f>'CLIENT ENROLLMENT DISCHARGE '!M377</f>
        <v>0</v>
      </c>
      <c r="X377" s="76">
        <f>'CLIENT ENROLLMENT DISCHARGE '!L377</f>
        <v>0</v>
      </c>
      <c r="Y377" s="180" t="s">
        <v>0</v>
      </c>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O378+JULY!P379</f>
        <v>0</v>
      </c>
      <c r="Q378" s="60"/>
      <c r="R378" s="52"/>
      <c r="S378" s="66"/>
      <c r="T378" s="65"/>
      <c r="U378" s="68"/>
      <c r="V378" s="59"/>
      <c r="W378" s="6">
        <f>'CLIENT ENROLLMENT DISCHARGE '!M378</f>
        <v>0</v>
      </c>
      <c r="X378" s="76">
        <f>'CLIENT ENROLLMENT DISCHARGE '!L378</f>
        <v>0</v>
      </c>
      <c r="Y378" s="180" t="s">
        <v>0</v>
      </c>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O379+JULY!P380</f>
        <v>0</v>
      </c>
      <c r="Q379" s="59"/>
      <c r="R379" s="51"/>
      <c r="S379" s="65"/>
      <c r="T379" s="64"/>
      <c r="U379" s="67"/>
      <c r="V379" s="74"/>
      <c r="W379" s="6">
        <f>'CLIENT ENROLLMENT DISCHARGE '!M379</f>
        <v>0</v>
      </c>
      <c r="X379" s="76">
        <f>'CLIENT ENROLLMENT DISCHARGE '!L379</f>
        <v>0</v>
      </c>
      <c r="Y379" s="180" t="s">
        <v>0</v>
      </c>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O380+JULY!P381</f>
        <v>0</v>
      </c>
      <c r="Q380" s="60"/>
      <c r="R380" s="52"/>
      <c r="S380" s="66"/>
      <c r="T380" s="65"/>
      <c r="U380" s="68"/>
      <c r="V380" s="75"/>
      <c r="W380" s="6">
        <f>'CLIENT ENROLLMENT DISCHARGE '!M380</f>
        <v>0</v>
      </c>
      <c r="X380" s="76">
        <f>'CLIENT ENROLLMENT DISCHARGE '!L380</f>
        <v>0</v>
      </c>
      <c r="Y380" s="180" t="s">
        <v>0</v>
      </c>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O381+JULY!P382</f>
        <v>0</v>
      </c>
      <c r="Q381" s="59"/>
      <c r="R381" s="51"/>
      <c r="S381" s="65"/>
      <c r="T381" s="64"/>
      <c r="U381" s="67"/>
      <c r="V381" s="74"/>
      <c r="W381" s="6">
        <f>'CLIENT ENROLLMENT DISCHARGE '!M381</f>
        <v>0</v>
      </c>
      <c r="X381" s="76">
        <f>'CLIENT ENROLLMENT DISCHARGE '!L381</f>
        <v>0</v>
      </c>
      <c r="Y381" s="180" t="s">
        <v>0</v>
      </c>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O382+JULY!P383</f>
        <v>0</v>
      </c>
      <c r="Q382" s="60"/>
      <c r="R382" s="52"/>
      <c r="S382" s="66"/>
      <c r="T382" s="65"/>
      <c r="U382" s="68"/>
      <c r="V382" s="59"/>
      <c r="W382" s="6">
        <f>'CLIENT ENROLLMENT DISCHARGE '!M382</f>
        <v>0</v>
      </c>
      <c r="X382" s="76">
        <f>'CLIENT ENROLLMENT DISCHARGE '!L382</f>
        <v>0</v>
      </c>
      <c r="Y382" s="180" t="s">
        <v>0</v>
      </c>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O383+JULY!P384</f>
        <v>0</v>
      </c>
      <c r="Q383" s="59"/>
      <c r="R383" s="51"/>
      <c r="S383" s="65"/>
      <c r="T383" s="64"/>
      <c r="U383" s="67"/>
      <c r="V383" s="74"/>
      <c r="W383" s="6">
        <f>'CLIENT ENROLLMENT DISCHARGE '!M383</f>
        <v>0</v>
      </c>
      <c r="X383" s="76">
        <f>'CLIENT ENROLLMENT DISCHARGE '!L383</f>
        <v>0</v>
      </c>
      <c r="Y383" s="180" t="s">
        <v>0</v>
      </c>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O384+JULY!P385</f>
        <v>0</v>
      </c>
      <c r="Q384" s="60"/>
      <c r="R384" s="52"/>
      <c r="S384" s="66"/>
      <c r="T384" s="65"/>
      <c r="U384" s="68"/>
      <c r="V384" s="59"/>
      <c r="W384" s="6">
        <f>'CLIENT ENROLLMENT DISCHARGE '!M384</f>
        <v>0</v>
      </c>
      <c r="X384" s="76">
        <f>'CLIENT ENROLLMENT DISCHARGE '!L384</f>
        <v>0</v>
      </c>
      <c r="Y384" s="180" t="s">
        <v>0</v>
      </c>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O385+JULY!P386</f>
        <v>0</v>
      </c>
      <c r="Q385" s="59"/>
      <c r="R385" s="51"/>
      <c r="S385" s="65"/>
      <c r="T385" s="64"/>
      <c r="U385" s="67"/>
      <c r="V385" s="74"/>
      <c r="W385" s="6">
        <f>'CLIENT ENROLLMENT DISCHARGE '!M385</f>
        <v>0</v>
      </c>
      <c r="X385" s="76">
        <f>'CLIENT ENROLLMENT DISCHARGE '!L385</f>
        <v>0</v>
      </c>
      <c r="Y385" s="180" t="s">
        <v>0</v>
      </c>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O386+JULY!P387</f>
        <v>0</v>
      </c>
      <c r="Q386" s="60"/>
      <c r="R386" s="52"/>
      <c r="S386" s="66"/>
      <c r="T386" s="65"/>
      <c r="U386" s="68"/>
      <c r="V386" s="59"/>
      <c r="W386" s="6">
        <f>'CLIENT ENROLLMENT DISCHARGE '!M386</f>
        <v>0</v>
      </c>
      <c r="X386" s="76">
        <f>'CLIENT ENROLLMENT DISCHARGE '!L386</f>
        <v>0</v>
      </c>
      <c r="Y386" s="180" t="s">
        <v>0</v>
      </c>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O387+JULY!P388</f>
        <v>0</v>
      </c>
      <c r="Q387" s="59"/>
      <c r="R387" s="51"/>
      <c r="S387" s="65"/>
      <c r="T387" s="64"/>
      <c r="U387" s="67"/>
      <c r="V387" s="74"/>
      <c r="W387" s="6">
        <f>'CLIENT ENROLLMENT DISCHARGE '!M387</f>
        <v>0</v>
      </c>
      <c r="X387" s="76">
        <f>'CLIENT ENROLLMENT DISCHARGE '!L387</f>
        <v>0</v>
      </c>
      <c r="Y387" s="180" t="s">
        <v>0</v>
      </c>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O388+JULY!P389</f>
        <v>0</v>
      </c>
      <c r="Q388" s="60"/>
      <c r="R388" s="52"/>
      <c r="S388" s="66"/>
      <c r="T388" s="65"/>
      <c r="U388" s="68"/>
      <c r="V388" s="59"/>
      <c r="W388" s="6">
        <f>'CLIENT ENROLLMENT DISCHARGE '!M388</f>
        <v>0</v>
      </c>
      <c r="X388" s="76">
        <f>'CLIENT ENROLLMENT DISCHARGE '!L388</f>
        <v>0</v>
      </c>
      <c r="Y388" s="180" t="s">
        <v>0</v>
      </c>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O389+JULY!P390</f>
        <v>0</v>
      </c>
      <c r="Q389" s="59"/>
      <c r="R389" s="51"/>
      <c r="S389" s="65"/>
      <c r="T389" s="64"/>
      <c r="U389" s="67"/>
      <c r="V389" s="74"/>
      <c r="W389" s="6">
        <f>'CLIENT ENROLLMENT DISCHARGE '!M389</f>
        <v>0</v>
      </c>
      <c r="X389" s="76">
        <f>'CLIENT ENROLLMENT DISCHARGE '!L389</f>
        <v>0</v>
      </c>
      <c r="Y389" s="180" t="s">
        <v>0</v>
      </c>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O390+JULY!P391</f>
        <v>0</v>
      </c>
      <c r="Q390" s="60"/>
      <c r="R390" s="52"/>
      <c r="S390" s="66"/>
      <c r="T390" s="65"/>
      <c r="U390" s="68"/>
      <c r="V390" s="75"/>
      <c r="W390" s="6">
        <f>'CLIENT ENROLLMENT DISCHARGE '!M390</f>
        <v>0</v>
      </c>
      <c r="X390" s="76">
        <f>'CLIENT ENROLLMENT DISCHARGE '!L390</f>
        <v>0</v>
      </c>
      <c r="Y390" s="180" t="s">
        <v>0</v>
      </c>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O391+JULY!P392</f>
        <v>0</v>
      </c>
      <c r="Q391" s="59"/>
      <c r="R391" s="51"/>
      <c r="S391" s="65"/>
      <c r="T391" s="64"/>
      <c r="U391" s="67"/>
      <c r="V391" s="74"/>
      <c r="W391" s="6">
        <f>'CLIENT ENROLLMENT DISCHARGE '!M391</f>
        <v>0</v>
      </c>
      <c r="X391" s="76">
        <f>'CLIENT ENROLLMENT DISCHARGE '!L391</f>
        <v>0</v>
      </c>
      <c r="Y391" s="180" t="s">
        <v>0</v>
      </c>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O392+JULY!P393</f>
        <v>0</v>
      </c>
      <c r="Q392" s="60"/>
      <c r="R392" s="52"/>
      <c r="S392" s="66"/>
      <c r="T392" s="65"/>
      <c r="U392" s="68"/>
      <c r="V392" s="59"/>
      <c r="W392" s="6">
        <f>'CLIENT ENROLLMENT DISCHARGE '!M392</f>
        <v>0</v>
      </c>
      <c r="X392" s="76">
        <f>'CLIENT ENROLLMENT DISCHARGE '!L392</f>
        <v>0</v>
      </c>
      <c r="Y392" s="180" t="s">
        <v>0</v>
      </c>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O393+JULY!P394</f>
        <v>0</v>
      </c>
      <c r="Q393" s="59"/>
      <c r="R393" s="51"/>
      <c r="S393" s="65"/>
      <c r="T393" s="64"/>
      <c r="U393" s="67"/>
      <c r="V393" s="74"/>
      <c r="W393" s="6">
        <f>'CLIENT ENROLLMENT DISCHARGE '!M393</f>
        <v>0</v>
      </c>
      <c r="X393" s="76">
        <f>'CLIENT ENROLLMENT DISCHARGE '!L393</f>
        <v>0</v>
      </c>
      <c r="Y393" s="180" t="s">
        <v>0</v>
      </c>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O394+JULY!P395</f>
        <v>0</v>
      </c>
      <c r="Q394" s="60"/>
      <c r="R394" s="52"/>
      <c r="S394" s="66"/>
      <c r="T394" s="65"/>
      <c r="U394" s="68"/>
      <c r="V394" s="59"/>
      <c r="W394" s="6">
        <f>'CLIENT ENROLLMENT DISCHARGE '!M394</f>
        <v>0</v>
      </c>
      <c r="X394" s="76">
        <f>'CLIENT ENROLLMENT DISCHARGE '!L394</f>
        <v>0</v>
      </c>
      <c r="Y394" s="180" t="s">
        <v>0</v>
      </c>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O395+JULY!P396</f>
        <v>0</v>
      </c>
      <c r="Q395" s="59"/>
      <c r="R395" s="51"/>
      <c r="S395" s="65"/>
      <c r="T395" s="64"/>
      <c r="U395" s="67"/>
      <c r="V395" s="74"/>
      <c r="W395" s="6">
        <f>'CLIENT ENROLLMENT DISCHARGE '!M395</f>
        <v>0</v>
      </c>
      <c r="X395" s="76">
        <f>'CLIENT ENROLLMENT DISCHARGE '!L395</f>
        <v>0</v>
      </c>
      <c r="Y395" s="180" t="s">
        <v>0</v>
      </c>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O396+JULY!P397</f>
        <v>0</v>
      </c>
      <c r="Q396" s="60"/>
      <c r="R396" s="52"/>
      <c r="S396" s="66"/>
      <c r="T396" s="65"/>
      <c r="U396" s="68"/>
      <c r="V396" s="59"/>
      <c r="W396" s="6">
        <f>'CLIENT ENROLLMENT DISCHARGE '!M396</f>
        <v>0</v>
      </c>
      <c r="X396" s="76">
        <f>'CLIENT ENROLLMENT DISCHARGE '!L396</f>
        <v>0</v>
      </c>
      <c r="Y396" s="180" t="s">
        <v>0</v>
      </c>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O397+JULY!P398</f>
        <v>0</v>
      </c>
      <c r="Q397" s="59"/>
      <c r="R397" s="51"/>
      <c r="S397" s="65"/>
      <c r="T397" s="64"/>
      <c r="U397" s="67"/>
      <c r="V397" s="74"/>
      <c r="W397" s="6">
        <f>'CLIENT ENROLLMENT DISCHARGE '!M397</f>
        <v>0</v>
      </c>
      <c r="X397" s="76">
        <f>'CLIENT ENROLLMENT DISCHARGE '!L397</f>
        <v>0</v>
      </c>
      <c r="Y397" s="180" t="s">
        <v>0</v>
      </c>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O398+JULY!P399</f>
        <v>0</v>
      </c>
      <c r="Q398" s="60"/>
      <c r="R398" s="52"/>
      <c r="S398" s="66"/>
      <c r="T398" s="65"/>
      <c r="U398" s="68"/>
      <c r="V398" s="59"/>
      <c r="W398" s="6">
        <f>'CLIENT ENROLLMENT DISCHARGE '!M398</f>
        <v>0</v>
      </c>
      <c r="X398" s="76">
        <f>'CLIENT ENROLLMENT DISCHARGE '!L398</f>
        <v>0</v>
      </c>
      <c r="Y398" s="180" t="s">
        <v>0</v>
      </c>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O399+JULY!P400</f>
        <v>0</v>
      </c>
      <c r="Q399" s="59"/>
      <c r="R399" s="51"/>
      <c r="S399" s="65"/>
      <c r="T399" s="64"/>
      <c r="U399" s="67"/>
      <c r="V399" s="74"/>
      <c r="W399" s="6">
        <f>'CLIENT ENROLLMENT DISCHARGE '!M399</f>
        <v>0</v>
      </c>
      <c r="X399" s="76">
        <f>'CLIENT ENROLLMENT DISCHARGE '!L399</f>
        <v>0</v>
      </c>
      <c r="Y399" s="180" t="s">
        <v>0</v>
      </c>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O400+JULY!P401</f>
        <v>0</v>
      </c>
      <c r="Q400" s="60"/>
      <c r="R400" s="52"/>
      <c r="S400" s="66"/>
      <c r="T400" s="65"/>
      <c r="U400" s="68"/>
      <c r="V400" s="75"/>
      <c r="W400" s="6">
        <f>'CLIENT ENROLLMENT DISCHARGE '!M400</f>
        <v>0</v>
      </c>
      <c r="X400" s="76">
        <f>'CLIENT ENROLLMENT DISCHARGE '!L400</f>
        <v>0</v>
      </c>
      <c r="Y400" s="180" t="s">
        <v>0</v>
      </c>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O401+JULY!P402</f>
        <v>0</v>
      </c>
      <c r="Q401" s="59"/>
      <c r="R401" s="51"/>
      <c r="S401" s="65"/>
      <c r="T401" s="64"/>
      <c r="U401" s="67"/>
      <c r="V401" s="74"/>
      <c r="W401" s="6">
        <f>'CLIENT ENROLLMENT DISCHARGE '!M401</f>
        <v>0</v>
      </c>
      <c r="X401" s="76">
        <f>'CLIENT ENROLLMENT DISCHARGE '!L401</f>
        <v>0</v>
      </c>
      <c r="Y401" s="180" t="s">
        <v>0</v>
      </c>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O402+JULY!P403</f>
        <v>0</v>
      </c>
      <c r="Q402" s="60"/>
      <c r="R402" s="52"/>
      <c r="S402" s="66"/>
      <c r="T402" s="65"/>
      <c r="U402" s="68"/>
      <c r="V402" s="59"/>
      <c r="W402" s="6">
        <f>'CLIENT ENROLLMENT DISCHARGE '!M402</f>
        <v>0</v>
      </c>
      <c r="X402" s="76">
        <f>'CLIENT ENROLLMENT DISCHARGE '!L402</f>
        <v>0</v>
      </c>
      <c r="Y402" s="180" t="s">
        <v>0</v>
      </c>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O403+JULY!P404</f>
        <v>0</v>
      </c>
      <c r="Q403" s="59"/>
      <c r="R403" s="51"/>
      <c r="S403" s="65"/>
      <c r="T403" s="64"/>
      <c r="U403" s="67"/>
      <c r="V403" s="74"/>
      <c r="W403" s="6">
        <f>'CLIENT ENROLLMENT DISCHARGE '!M403</f>
        <v>0</v>
      </c>
      <c r="X403" s="76">
        <f>'CLIENT ENROLLMENT DISCHARGE '!L403</f>
        <v>0</v>
      </c>
      <c r="Y403" s="180" t="s">
        <v>0</v>
      </c>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O404+JULY!P405</f>
        <v>0</v>
      </c>
      <c r="Q404" s="60"/>
      <c r="R404" s="52"/>
      <c r="S404" s="66"/>
      <c r="T404" s="65"/>
      <c r="U404" s="68"/>
      <c r="V404" s="59"/>
      <c r="W404" s="6">
        <f>'CLIENT ENROLLMENT DISCHARGE '!M404</f>
        <v>0</v>
      </c>
      <c r="X404" s="76">
        <f>'CLIENT ENROLLMENT DISCHARGE '!L404</f>
        <v>0</v>
      </c>
      <c r="Y404" s="180" t="s">
        <v>0</v>
      </c>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O405+JULY!P406</f>
        <v>0</v>
      </c>
      <c r="Q405" s="59"/>
      <c r="R405" s="51"/>
      <c r="S405" s="65"/>
      <c r="T405" s="64"/>
      <c r="U405" s="67"/>
      <c r="V405" s="74"/>
      <c r="W405" s="6">
        <f>'CLIENT ENROLLMENT DISCHARGE '!M405</f>
        <v>0</v>
      </c>
      <c r="X405" s="76">
        <f>'CLIENT ENROLLMENT DISCHARGE '!L405</f>
        <v>0</v>
      </c>
      <c r="Y405" s="180" t="s">
        <v>0</v>
      </c>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O406+JULY!P407</f>
        <v>0</v>
      </c>
      <c r="Q406" s="60"/>
      <c r="R406" s="52"/>
      <c r="S406" s="66"/>
      <c r="T406" s="65"/>
      <c r="U406" s="68"/>
      <c r="V406" s="59"/>
      <c r="W406" s="6">
        <f>'CLIENT ENROLLMENT DISCHARGE '!M406</f>
        <v>0</v>
      </c>
      <c r="X406" s="76">
        <f>'CLIENT ENROLLMENT DISCHARGE '!L406</f>
        <v>0</v>
      </c>
      <c r="Y406" s="180" t="s">
        <v>0</v>
      </c>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O407+JULY!P408</f>
        <v>0</v>
      </c>
      <c r="Q407" s="59"/>
      <c r="R407" s="51"/>
      <c r="S407" s="65"/>
      <c r="T407" s="64"/>
      <c r="U407" s="67"/>
      <c r="V407" s="74"/>
      <c r="W407" s="6">
        <f>'CLIENT ENROLLMENT DISCHARGE '!M407</f>
        <v>0</v>
      </c>
      <c r="X407" s="76">
        <f>'CLIENT ENROLLMENT DISCHARGE '!L407</f>
        <v>0</v>
      </c>
      <c r="Y407" s="180" t="s">
        <v>0</v>
      </c>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O408+JULY!P409</f>
        <v>0</v>
      </c>
      <c r="Q408" s="60"/>
      <c r="R408" s="52"/>
      <c r="S408" s="66"/>
      <c r="T408" s="65"/>
      <c r="U408" s="68"/>
      <c r="V408" s="59"/>
      <c r="W408" s="6">
        <f>'CLIENT ENROLLMENT DISCHARGE '!M408</f>
        <v>0</v>
      </c>
      <c r="X408" s="76">
        <f>'CLIENT ENROLLMENT DISCHARGE '!L408</f>
        <v>0</v>
      </c>
      <c r="Y408" s="180" t="s">
        <v>0</v>
      </c>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O409+JULY!P410</f>
        <v>0</v>
      </c>
      <c r="Q409" s="59"/>
      <c r="R409" s="51"/>
      <c r="S409" s="65"/>
      <c r="T409" s="64"/>
      <c r="U409" s="67"/>
      <c r="V409" s="74"/>
      <c r="W409" s="6">
        <f>'CLIENT ENROLLMENT DISCHARGE '!M409</f>
        <v>0</v>
      </c>
      <c r="X409" s="76">
        <f>'CLIENT ENROLLMENT DISCHARGE '!L409</f>
        <v>0</v>
      </c>
      <c r="Y409" s="180" t="s">
        <v>0</v>
      </c>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O410+JULY!P411</f>
        <v>0</v>
      </c>
      <c r="Q410" s="60"/>
      <c r="R410" s="52"/>
      <c r="S410" s="66"/>
      <c r="T410" s="65"/>
      <c r="U410" s="68"/>
      <c r="V410" s="75"/>
      <c r="W410" s="6">
        <f>'CLIENT ENROLLMENT DISCHARGE '!M410</f>
        <v>0</v>
      </c>
      <c r="X410" s="76">
        <f>'CLIENT ENROLLMENT DISCHARGE '!L410</f>
        <v>0</v>
      </c>
      <c r="Y410" s="180" t="s">
        <v>0</v>
      </c>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O411+JULY!P412</f>
        <v>0</v>
      </c>
      <c r="Q411" s="59"/>
      <c r="R411" s="51"/>
      <c r="S411" s="65"/>
      <c r="T411" s="64"/>
      <c r="U411" s="67"/>
      <c r="V411" s="74"/>
      <c r="W411" s="6">
        <f>'CLIENT ENROLLMENT DISCHARGE '!M411</f>
        <v>0</v>
      </c>
      <c r="X411" s="76">
        <f>'CLIENT ENROLLMENT DISCHARGE '!L411</f>
        <v>0</v>
      </c>
      <c r="Y411" s="180" t="s">
        <v>0</v>
      </c>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O412+JULY!P413</f>
        <v>0</v>
      </c>
      <c r="Q412" s="60"/>
      <c r="R412" s="52"/>
      <c r="S412" s="66"/>
      <c r="T412" s="65"/>
      <c r="U412" s="68"/>
      <c r="V412" s="59"/>
      <c r="W412" s="6">
        <f>'CLIENT ENROLLMENT DISCHARGE '!M412</f>
        <v>0</v>
      </c>
      <c r="X412" s="76">
        <f>'CLIENT ENROLLMENT DISCHARGE '!L412</f>
        <v>0</v>
      </c>
      <c r="Y412" s="180" t="s">
        <v>0</v>
      </c>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O413+JULY!P414</f>
        <v>0</v>
      </c>
      <c r="Q413" s="59"/>
      <c r="R413" s="51"/>
      <c r="S413" s="65"/>
      <c r="T413" s="64"/>
      <c r="U413" s="67"/>
      <c r="V413" s="74"/>
      <c r="W413" s="6">
        <f>'CLIENT ENROLLMENT DISCHARGE '!M413</f>
        <v>0</v>
      </c>
      <c r="X413" s="76">
        <f>'CLIENT ENROLLMENT DISCHARGE '!L413</f>
        <v>0</v>
      </c>
      <c r="Y413" s="180" t="s">
        <v>0</v>
      </c>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O414+JULY!P415</f>
        <v>0</v>
      </c>
      <c r="Q414" s="60"/>
      <c r="R414" s="52"/>
      <c r="S414" s="66"/>
      <c r="T414" s="65"/>
      <c r="U414" s="68"/>
      <c r="V414" s="59"/>
      <c r="W414" s="6">
        <f>'CLIENT ENROLLMENT DISCHARGE '!M414</f>
        <v>0</v>
      </c>
      <c r="X414" s="76">
        <f>'CLIENT ENROLLMENT DISCHARGE '!L414</f>
        <v>0</v>
      </c>
      <c r="Y414" s="180" t="s">
        <v>0</v>
      </c>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O415+JULY!P416</f>
        <v>0</v>
      </c>
      <c r="Q415" s="59"/>
      <c r="R415" s="51"/>
      <c r="S415" s="65"/>
      <c r="T415" s="64"/>
      <c r="U415" s="67"/>
      <c r="V415" s="74"/>
      <c r="W415" s="6">
        <f>'CLIENT ENROLLMENT DISCHARGE '!M415</f>
        <v>0</v>
      </c>
      <c r="X415" s="76">
        <f>'CLIENT ENROLLMENT DISCHARGE '!L415</f>
        <v>0</v>
      </c>
      <c r="Y415" s="180" t="s">
        <v>0</v>
      </c>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O416+JULY!P417</f>
        <v>0</v>
      </c>
      <c r="Q416" s="60"/>
      <c r="R416" s="52"/>
      <c r="S416" s="66"/>
      <c r="T416" s="65"/>
      <c r="U416" s="68"/>
      <c r="V416" s="59"/>
      <c r="W416" s="6">
        <f>'CLIENT ENROLLMENT DISCHARGE '!M416</f>
        <v>0</v>
      </c>
      <c r="X416" s="76">
        <f>'CLIENT ENROLLMENT DISCHARGE '!L416</f>
        <v>0</v>
      </c>
      <c r="Y416" s="180" t="s">
        <v>0</v>
      </c>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O417+JULY!P418</f>
        <v>0</v>
      </c>
      <c r="Q417" s="59"/>
      <c r="R417" s="51"/>
      <c r="S417" s="65"/>
      <c r="T417" s="64"/>
      <c r="U417" s="67"/>
      <c r="V417" s="74"/>
      <c r="W417" s="6">
        <f>'CLIENT ENROLLMENT DISCHARGE '!M417</f>
        <v>0</v>
      </c>
      <c r="X417" s="76">
        <f>'CLIENT ENROLLMENT DISCHARGE '!L417</f>
        <v>0</v>
      </c>
      <c r="Y417" s="180" t="s">
        <v>0</v>
      </c>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O418+JULY!P419</f>
        <v>0</v>
      </c>
      <c r="Q418" s="60"/>
      <c r="R418" s="52"/>
      <c r="S418" s="66"/>
      <c r="T418" s="65"/>
      <c r="U418" s="68"/>
      <c r="V418" s="59"/>
      <c r="W418" s="6">
        <f>'CLIENT ENROLLMENT DISCHARGE '!M418</f>
        <v>0</v>
      </c>
      <c r="X418" s="76">
        <f>'CLIENT ENROLLMENT DISCHARGE '!L418</f>
        <v>0</v>
      </c>
      <c r="Y418" s="180" t="s">
        <v>0</v>
      </c>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O419+JULY!P420</f>
        <v>0</v>
      </c>
      <c r="Q419" s="59"/>
      <c r="R419" s="51"/>
      <c r="S419" s="65"/>
      <c r="T419" s="64"/>
      <c r="U419" s="67"/>
      <c r="V419" s="74"/>
      <c r="W419" s="6">
        <f>'CLIENT ENROLLMENT DISCHARGE '!M419</f>
        <v>0</v>
      </c>
      <c r="X419" s="76">
        <f>'CLIENT ENROLLMENT DISCHARGE '!L419</f>
        <v>0</v>
      </c>
      <c r="Y419" s="180" t="s">
        <v>0</v>
      </c>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O420+JULY!P421</f>
        <v>0</v>
      </c>
      <c r="Q420" s="60"/>
      <c r="R420" s="52"/>
      <c r="S420" s="66"/>
      <c r="T420" s="65"/>
      <c r="U420" s="68"/>
      <c r="V420" s="75"/>
      <c r="W420" s="6">
        <f>'CLIENT ENROLLMENT DISCHARGE '!M420</f>
        <v>0</v>
      </c>
      <c r="X420" s="76">
        <f>'CLIENT ENROLLMENT DISCHARGE '!L420</f>
        <v>0</v>
      </c>
      <c r="Y420" s="180" t="s">
        <v>0</v>
      </c>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O421+JULY!P422</f>
        <v>0</v>
      </c>
      <c r="Q421" s="59"/>
      <c r="R421" s="51"/>
      <c r="S421" s="65"/>
      <c r="T421" s="64"/>
      <c r="U421" s="67"/>
      <c r="V421" s="74"/>
      <c r="W421" s="6">
        <f>'CLIENT ENROLLMENT DISCHARGE '!M421</f>
        <v>0</v>
      </c>
      <c r="X421" s="76">
        <f>'CLIENT ENROLLMENT DISCHARGE '!L421</f>
        <v>0</v>
      </c>
      <c r="Y421" s="180" t="s">
        <v>0</v>
      </c>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O422+JULY!P423</f>
        <v>0</v>
      </c>
      <c r="Q422" s="60"/>
      <c r="R422" s="52"/>
      <c r="S422" s="66"/>
      <c r="T422" s="65"/>
      <c r="U422" s="68"/>
      <c r="V422" s="59"/>
      <c r="W422" s="6">
        <f>'CLIENT ENROLLMENT DISCHARGE '!M422</f>
        <v>0</v>
      </c>
      <c r="X422" s="76">
        <f>'CLIENT ENROLLMENT DISCHARGE '!L422</f>
        <v>0</v>
      </c>
      <c r="Y422" s="180" t="s">
        <v>0</v>
      </c>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O423+JULY!P424</f>
        <v>0</v>
      </c>
      <c r="Q423" s="59"/>
      <c r="R423" s="51"/>
      <c r="S423" s="65"/>
      <c r="T423" s="64"/>
      <c r="U423" s="67"/>
      <c r="V423" s="74"/>
      <c r="W423" s="6">
        <f>'CLIENT ENROLLMENT DISCHARGE '!M423</f>
        <v>0</v>
      </c>
      <c r="X423" s="76">
        <f>'CLIENT ENROLLMENT DISCHARGE '!L423</f>
        <v>0</v>
      </c>
      <c r="Y423" s="180" t="s">
        <v>0</v>
      </c>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O424+JULY!P425</f>
        <v>0</v>
      </c>
      <c r="Q424" s="60"/>
      <c r="R424" s="52"/>
      <c r="S424" s="66"/>
      <c r="T424" s="65"/>
      <c r="U424" s="68"/>
      <c r="V424" s="59"/>
      <c r="W424" s="6">
        <f>'CLIENT ENROLLMENT DISCHARGE '!M424</f>
        <v>0</v>
      </c>
      <c r="X424" s="76">
        <f>'CLIENT ENROLLMENT DISCHARGE '!L424</f>
        <v>0</v>
      </c>
      <c r="Y424" s="180" t="s">
        <v>0</v>
      </c>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O425+JULY!P426</f>
        <v>0</v>
      </c>
      <c r="Q425" s="59"/>
      <c r="R425" s="51"/>
      <c r="S425" s="65"/>
      <c r="T425" s="64"/>
      <c r="U425" s="67"/>
      <c r="V425" s="74"/>
      <c r="W425" s="6">
        <f>'CLIENT ENROLLMENT DISCHARGE '!M425</f>
        <v>0</v>
      </c>
      <c r="X425" s="76">
        <f>'CLIENT ENROLLMENT DISCHARGE '!L425</f>
        <v>0</v>
      </c>
      <c r="Y425" s="180" t="s">
        <v>0</v>
      </c>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O426+JULY!P427</f>
        <v>0</v>
      </c>
      <c r="Q426" s="60"/>
      <c r="R426" s="52"/>
      <c r="S426" s="66"/>
      <c r="T426" s="65"/>
      <c r="U426" s="68"/>
      <c r="V426" s="59"/>
      <c r="W426" s="6">
        <f>'CLIENT ENROLLMENT DISCHARGE '!M426</f>
        <v>0</v>
      </c>
      <c r="X426" s="76">
        <f>'CLIENT ENROLLMENT DISCHARGE '!L426</f>
        <v>0</v>
      </c>
      <c r="Y426" s="180" t="s">
        <v>0</v>
      </c>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O427+JULY!P428</f>
        <v>0</v>
      </c>
      <c r="Q427" s="59"/>
      <c r="R427" s="51"/>
      <c r="S427" s="65"/>
      <c r="T427" s="64"/>
      <c r="U427" s="67"/>
      <c r="V427" s="74"/>
      <c r="W427" s="6">
        <f>'CLIENT ENROLLMENT DISCHARGE '!M427</f>
        <v>0</v>
      </c>
      <c r="X427" s="76">
        <f>'CLIENT ENROLLMENT DISCHARGE '!L427</f>
        <v>0</v>
      </c>
      <c r="Y427" s="180" t="s">
        <v>0</v>
      </c>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O428+JULY!P429</f>
        <v>0</v>
      </c>
      <c r="Q428" s="60"/>
      <c r="R428" s="52"/>
      <c r="S428" s="66"/>
      <c r="T428" s="65"/>
      <c r="U428" s="68"/>
      <c r="V428" s="59"/>
      <c r="W428" s="6">
        <f>'CLIENT ENROLLMENT DISCHARGE '!M428</f>
        <v>0</v>
      </c>
      <c r="X428" s="76">
        <f>'CLIENT ENROLLMENT DISCHARGE '!L428</f>
        <v>0</v>
      </c>
      <c r="Y428" s="180" t="s">
        <v>0</v>
      </c>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O429+JULY!P430</f>
        <v>0</v>
      </c>
      <c r="Q429" s="59"/>
      <c r="R429" s="51"/>
      <c r="S429" s="65"/>
      <c r="T429" s="64"/>
      <c r="U429" s="67"/>
      <c r="V429" s="74"/>
      <c r="W429" s="6">
        <f>'CLIENT ENROLLMENT DISCHARGE '!M429</f>
        <v>0</v>
      </c>
      <c r="X429" s="76">
        <f>'CLIENT ENROLLMENT DISCHARGE '!L429</f>
        <v>0</v>
      </c>
      <c r="Y429" s="180" t="s">
        <v>0</v>
      </c>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O430+JULY!P431</f>
        <v>0</v>
      </c>
      <c r="Q430" s="60"/>
      <c r="R430" s="52"/>
      <c r="S430" s="66"/>
      <c r="T430" s="65"/>
      <c r="U430" s="68"/>
      <c r="V430" s="75"/>
      <c r="W430" s="6">
        <f>'CLIENT ENROLLMENT DISCHARGE '!M430</f>
        <v>0</v>
      </c>
      <c r="X430" s="76">
        <f>'CLIENT ENROLLMENT DISCHARGE '!L430</f>
        <v>0</v>
      </c>
      <c r="Y430" s="180" t="s">
        <v>0</v>
      </c>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O431+JULY!P432</f>
        <v>0</v>
      </c>
      <c r="Q431" s="59"/>
      <c r="R431" s="51"/>
      <c r="S431" s="65"/>
      <c r="T431" s="64"/>
      <c r="U431" s="67"/>
      <c r="V431" s="74"/>
      <c r="W431" s="6">
        <f>'CLIENT ENROLLMENT DISCHARGE '!M431</f>
        <v>0</v>
      </c>
      <c r="X431" s="76">
        <f>'CLIENT ENROLLMENT DISCHARGE '!L431</f>
        <v>0</v>
      </c>
      <c r="Y431" s="180" t="s">
        <v>0</v>
      </c>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O432+JULY!P433</f>
        <v>0</v>
      </c>
      <c r="Q432" s="60"/>
      <c r="R432" s="52"/>
      <c r="S432" s="66"/>
      <c r="T432" s="65"/>
      <c r="U432" s="68"/>
      <c r="V432" s="59"/>
      <c r="W432" s="6">
        <f>'CLIENT ENROLLMENT DISCHARGE '!M432</f>
        <v>0</v>
      </c>
      <c r="X432" s="76">
        <f>'CLIENT ENROLLMENT DISCHARGE '!L432</f>
        <v>0</v>
      </c>
      <c r="Y432" s="180" t="s">
        <v>0</v>
      </c>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O433+JULY!P434</f>
        <v>0</v>
      </c>
      <c r="Q433" s="59"/>
      <c r="R433" s="51"/>
      <c r="S433" s="65"/>
      <c r="T433" s="64"/>
      <c r="U433" s="67"/>
      <c r="V433" s="74"/>
      <c r="W433" s="6">
        <f>'CLIENT ENROLLMENT DISCHARGE '!M433</f>
        <v>0</v>
      </c>
      <c r="X433" s="76">
        <f>'CLIENT ENROLLMENT DISCHARGE '!L433</f>
        <v>0</v>
      </c>
      <c r="Y433" s="180" t="s">
        <v>0</v>
      </c>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O434+JULY!P435</f>
        <v>0</v>
      </c>
      <c r="Q434" s="60"/>
      <c r="R434" s="52"/>
      <c r="S434" s="66"/>
      <c r="T434" s="65"/>
      <c r="U434" s="68"/>
      <c r="V434" s="59"/>
      <c r="W434" s="6">
        <f>'CLIENT ENROLLMENT DISCHARGE '!M434</f>
        <v>0</v>
      </c>
      <c r="X434" s="76">
        <f>'CLIENT ENROLLMENT DISCHARGE '!L434</f>
        <v>0</v>
      </c>
      <c r="Y434" s="180" t="s">
        <v>0</v>
      </c>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O435+JULY!P436</f>
        <v>0</v>
      </c>
      <c r="Q435" s="59"/>
      <c r="R435" s="51"/>
      <c r="S435" s="65"/>
      <c r="T435" s="64"/>
      <c r="U435" s="67"/>
      <c r="V435" s="74"/>
      <c r="W435" s="6">
        <f>'CLIENT ENROLLMENT DISCHARGE '!M435</f>
        <v>0</v>
      </c>
      <c r="X435" s="76">
        <f>'CLIENT ENROLLMENT DISCHARGE '!L435</f>
        <v>0</v>
      </c>
      <c r="Y435" s="180" t="s">
        <v>0</v>
      </c>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O436+JULY!P437</f>
        <v>0</v>
      </c>
      <c r="Q436" s="60"/>
      <c r="R436" s="52"/>
      <c r="S436" s="66"/>
      <c r="T436" s="65"/>
      <c r="U436" s="68"/>
      <c r="V436" s="59"/>
      <c r="W436" s="6">
        <f>'CLIENT ENROLLMENT DISCHARGE '!M436</f>
        <v>0</v>
      </c>
      <c r="X436" s="76">
        <f>'CLIENT ENROLLMENT DISCHARGE '!L436</f>
        <v>0</v>
      </c>
      <c r="Y436" s="180" t="s">
        <v>0</v>
      </c>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O437+JULY!P438</f>
        <v>0</v>
      </c>
      <c r="Q437" s="59"/>
      <c r="R437" s="51"/>
      <c r="S437" s="65"/>
      <c r="T437" s="64"/>
      <c r="U437" s="67"/>
      <c r="V437" s="74"/>
      <c r="W437" s="6">
        <f>'CLIENT ENROLLMENT DISCHARGE '!M437</f>
        <v>0</v>
      </c>
      <c r="X437" s="76">
        <f>'CLIENT ENROLLMENT DISCHARGE '!L437</f>
        <v>0</v>
      </c>
      <c r="Y437" s="180" t="s">
        <v>0</v>
      </c>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O438+JULY!P439</f>
        <v>0</v>
      </c>
      <c r="Q438" s="60"/>
      <c r="R438" s="52"/>
      <c r="S438" s="66"/>
      <c r="T438" s="65"/>
      <c r="U438" s="68"/>
      <c r="V438" s="59"/>
      <c r="W438" s="6">
        <f>'CLIENT ENROLLMENT DISCHARGE '!M438</f>
        <v>0</v>
      </c>
      <c r="X438" s="76">
        <f>'CLIENT ENROLLMENT DISCHARGE '!L438</f>
        <v>0</v>
      </c>
      <c r="Y438" s="180" t="s">
        <v>0</v>
      </c>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O439+JULY!P440</f>
        <v>0</v>
      </c>
      <c r="Q439" s="59"/>
      <c r="R439" s="51"/>
      <c r="S439" s="65"/>
      <c r="T439" s="64"/>
      <c r="U439" s="67"/>
      <c r="V439" s="74"/>
      <c r="W439" s="6">
        <f>'CLIENT ENROLLMENT DISCHARGE '!M439</f>
        <v>0</v>
      </c>
      <c r="X439" s="76">
        <f>'CLIENT ENROLLMENT DISCHARGE '!L439</f>
        <v>0</v>
      </c>
      <c r="Y439" s="180" t="s">
        <v>0</v>
      </c>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O440+JULY!P441</f>
        <v>0</v>
      </c>
      <c r="Q440" s="60"/>
      <c r="R440" s="52"/>
      <c r="S440" s="66"/>
      <c r="T440" s="65"/>
      <c r="U440" s="68"/>
      <c r="V440" s="75"/>
      <c r="W440" s="6">
        <f>'CLIENT ENROLLMENT DISCHARGE '!M440</f>
        <v>0</v>
      </c>
      <c r="X440" s="76">
        <f>'CLIENT ENROLLMENT DISCHARGE '!L440</f>
        <v>0</v>
      </c>
      <c r="Y440" s="180" t="s">
        <v>0</v>
      </c>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O441+JULY!P442</f>
        <v>0</v>
      </c>
      <c r="Q441" s="59"/>
      <c r="R441" s="51"/>
      <c r="S441" s="65"/>
      <c r="T441" s="64"/>
      <c r="U441" s="67"/>
      <c r="V441" s="74"/>
      <c r="W441" s="6">
        <f>'CLIENT ENROLLMENT DISCHARGE '!M441</f>
        <v>0</v>
      </c>
      <c r="X441" s="76">
        <f>'CLIENT ENROLLMENT DISCHARGE '!L441</f>
        <v>0</v>
      </c>
      <c r="Y441" s="180" t="s">
        <v>0</v>
      </c>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O442+JULY!P443</f>
        <v>0</v>
      </c>
      <c r="Q442" s="60"/>
      <c r="R442" s="52"/>
      <c r="S442" s="66"/>
      <c r="T442" s="65"/>
      <c r="U442" s="68"/>
      <c r="V442" s="59"/>
      <c r="W442" s="6">
        <f>'CLIENT ENROLLMENT DISCHARGE '!M442</f>
        <v>0</v>
      </c>
      <c r="X442" s="76">
        <f>'CLIENT ENROLLMENT DISCHARGE '!L442</f>
        <v>0</v>
      </c>
      <c r="Y442" s="180" t="s">
        <v>0</v>
      </c>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O443+JULY!P444</f>
        <v>0</v>
      </c>
      <c r="Q443" s="59"/>
      <c r="R443" s="51"/>
      <c r="S443" s="65"/>
      <c r="T443" s="64"/>
      <c r="U443" s="67"/>
      <c r="V443" s="74"/>
      <c r="W443" s="6">
        <f>'CLIENT ENROLLMENT DISCHARGE '!M443</f>
        <v>0</v>
      </c>
      <c r="X443" s="76">
        <f>'CLIENT ENROLLMENT DISCHARGE '!L443</f>
        <v>0</v>
      </c>
      <c r="Y443" s="180" t="s">
        <v>0</v>
      </c>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O444+JULY!P445</f>
        <v>0</v>
      </c>
      <c r="Q444" s="60"/>
      <c r="R444" s="52"/>
      <c r="S444" s="66"/>
      <c r="T444" s="65"/>
      <c r="U444" s="68"/>
      <c r="V444" s="59"/>
      <c r="W444" s="6">
        <f>'CLIENT ENROLLMENT DISCHARGE '!M444</f>
        <v>0</v>
      </c>
      <c r="X444" s="76">
        <f>'CLIENT ENROLLMENT DISCHARGE '!L444</f>
        <v>0</v>
      </c>
      <c r="Y444" s="180" t="s">
        <v>0</v>
      </c>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O445+JULY!P446</f>
        <v>0</v>
      </c>
      <c r="Q445" s="59"/>
      <c r="R445" s="51"/>
      <c r="S445" s="65"/>
      <c r="T445" s="64"/>
      <c r="U445" s="67"/>
      <c r="V445" s="74"/>
      <c r="W445" s="6">
        <f>'CLIENT ENROLLMENT DISCHARGE '!M445</f>
        <v>0</v>
      </c>
      <c r="X445" s="76">
        <f>'CLIENT ENROLLMENT DISCHARGE '!L445</f>
        <v>0</v>
      </c>
      <c r="Y445" s="180" t="s">
        <v>0</v>
      </c>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O446+JULY!P447</f>
        <v>0</v>
      </c>
      <c r="Q446" s="60"/>
      <c r="R446" s="52"/>
      <c r="S446" s="66"/>
      <c r="T446" s="65"/>
      <c r="U446" s="68"/>
      <c r="V446" s="59"/>
      <c r="W446" s="6">
        <f>'CLIENT ENROLLMENT DISCHARGE '!M446</f>
        <v>0</v>
      </c>
      <c r="X446" s="76">
        <f>'CLIENT ENROLLMENT DISCHARGE '!L446</f>
        <v>0</v>
      </c>
      <c r="Y446" s="180" t="s">
        <v>0</v>
      </c>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O447+JULY!P448</f>
        <v>0</v>
      </c>
      <c r="Q447" s="59"/>
      <c r="R447" s="51"/>
      <c r="S447" s="65"/>
      <c r="T447" s="64"/>
      <c r="U447" s="67"/>
      <c r="V447" s="74"/>
      <c r="W447" s="6">
        <f>'CLIENT ENROLLMENT DISCHARGE '!M447</f>
        <v>0</v>
      </c>
      <c r="X447" s="76">
        <f>'CLIENT ENROLLMENT DISCHARGE '!L447</f>
        <v>0</v>
      </c>
      <c r="Y447" s="180" t="s">
        <v>0</v>
      </c>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O448+JULY!P449</f>
        <v>0</v>
      </c>
      <c r="Q448" s="60"/>
      <c r="R448" s="52"/>
      <c r="S448" s="66"/>
      <c r="T448" s="65"/>
      <c r="U448" s="68"/>
      <c r="V448" s="59"/>
      <c r="W448" s="6">
        <f>'CLIENT ENROLLMENT DISCHARGE '!M448</f>
        <v>0</v>
      </c>
      <c r="X448" s="76">
        <f>'CLIENT ENROLLMENT DISCHARGE '!L448</f>
        <v>0</v>
      </c>
      <c r="Y448" s="180" t="s">
        <v>0</v>
      </c>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O449+JULY!P450</f>
        <v>0</v>
      </c>
      <c r="Q449" s="59"/>
      <c r="R449" s="51"/>
      <c r="S449" s="65"/>
      <c r="T449" s="64"/>
      <c r="U449" s="67"/>
      <c r="V449" s="74"/>
      <c r="W449" s="6">
        <f>'CLIENT ENROLLMENT DISCHARGE '!M449</f>
        <v>0</v>
      </c>
      <c r="X449" s="76">
        <f>'CLIENT ENROLLMENT DISCHARGE '!L449</f>
        <v>0</v>
      </c>
      <c r="Y449" s="180" t="s">
        <v>0</v>
      </c>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O450+JULY!P451</f>
        <v>0</v>
      </c>
      <c r="Q450" s="60"/>
      <c r="R450" s="52"/>
      <c r="S450" s="66"/>
      <c r="T450" s="65"/>
      <c r="U450" s="68"/>
      <c r="V450" s="75"/>
      <c r="W450" s="6">
        <f>'CLIENT ENROLLMENT DISCHARGE '!M450</f>
        <v>0</v>
      </c>
      <c r="X450" s="76">
        <f>'CLIENT ENROLLMENT DISCHARGE '!L450</f>
        <v>0</v>
      </c>
      <c r="Y450" s="180" t="s">
        <v>0</v>
      </c>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O451+JULY!P452</f>
        <v>0</v>
      </c>
      <c r="Q451" s="59"/>
      <c r="R451" s="51"/>
      <c r="S451" s="65"/>
      <c r="T451" s="64"/>
      <c r="U451" s="67"/>
      <c r="V451" s="74"/>
      <c r="W451" s="6">
        <f>'CLIENT ENROLLMENT DISCHARGE '!M451</f>
        <v>0</v>
      </c>
      <c r="X451" s="76">
        <f>'CLIENT ENROLLMENT DISCHARGE '!L451</f>
        <v>0</v>
      </c>
      <c r="Y451" s="180" t="s">
        <v>0</v>
      </c>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O452+JULY!P453</f>
        <v>0</v>
      </c>
      <c r="Q452" s="60"/>
      <c r="R452" s="52"/>
      <c r="S452" s="66"/>
      <c r="T452" s="65"/>
      <c r="U452" s="68"/>
      <c r="V452" s="59"/>
      <c r="W452" s="6">
        <f>'CLIENT ENROLLMENT DISCHARGE '!M452</f>
        <v>0</v>
      </c>
      <c r="X452" s="76">
        <f>'CLIENT ENROLLMENT DISCHARGE '!L452</f>
        <v>0</v>
      </c>
      <c r="Y452" s="180" t="s">
        <v>0</v>
      </c>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O453+JULY!P454</f>
        <v>0</v>
      </c>
      <c r="Q453" s="59"/>
      <c r="R453" s="51"/>
      <c r="S453" s="65"/>
      <c r="T453" s="64"/>
      <c r="U453" s="67"/>
      <c r="V453" s="74"/>
      <c r="W453" s="6">
        <f>'CLIENT ENROLLMENT DISCHARGE '!M453</f>
        <v>0</v>
      </c>
      <c r="X453" s="76">
        <f>'CLIENT ENROLLMENT DISCHARGE '!L453</f>
        <v>0</v>
      </c>
      <c r="Y453" s="180" t="s">
        <v>0</v>
      </c>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O454+JULY!P455</f>
        <v>0</v>
      </c>
      <c r="Q454" s="60"/>
      <c r="R454" s="52"/>
      <c r="S454" s="66"/>
      <c r="T454" s="65"/>
      <c r="U454" s="68"/>
      <c r="V454" s="59"/>
      <c r="W454" s="6">
        <f>'CLIENT ENROLLMENT DISCHARGE '!M454</f>
        <v>0</v>
      </c>
      <c r="X454" s="76">
        <f>'CLIENT ENROLLMENT DISCHARGE '!L454</f>
        <v>0</v>
      </c>
      <c r="Y454" s="180" t="s">
        <v>0</v>
      </c>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O455+JULY!P456</f>
        <v>0</v>
      </c>
      <c r="Q455" s="59"/>
      <c r="R455" s="51"/>
      <c r="S455" s="65"/>
      <c r="T455" s="64"/>
      <c r="U455" s="67"/>
      <c r="V455" s="74"/>
      <c r="W455" s="6">
        <f>'CLIENT ENROLLMENT DISCHARGE '!M455</f>
        <v>0</v>
      </c>
      <c r="X455" s="76">
        <f>'CLIENT ENROLLMENT DISCHARGE '!L455</f>
        <v>0</v>
      </c>
      <c r="Y455" s="180" t="s">
        <v>0</v>
      </c>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O456+JULY!P457</f>
        <v>0</v>
      </c>
      <c r="Q456" s="60"/>
      <c r="R456" s="52"/>
      <c r="S456" s="66"/>
      <c r="T456" s="65"/>
      <c r="U456" s="68"/>
      <c r="V456" s="59"/>
      <c r="W456" s="6">
        <f>'CLIENT ENROLLMENT DISCHARGE '!M456</f>
        <v>0</v>
      </c>
      <c r="X456" s="76">
        <f>'CLIENT ENROLLMENT DISCHARGE '!L456</f>
        <v>0</v>
      </c>
      <c r="Y456" s="180" t="s">
        <v>0</v>
      </c>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O457+JULY!P458</f>
        <v>0</v>
      </c>
      <c r="Q457" s="59"/>
      <c r="R457" s="51"/>
      <c r="S457" s="65"/>
      <c r="T457" s="64"/>
      <c r="U457" s="67"/>
      <c r="V457" s="74"/>
      <c r="W457" s="6">
        <f>'CLIENT ENROLLMENT DISCHARGE '!M457</f>
        <v>0</v>
      </c>
      <c r="X457" s="76">
        <f>'CLIENT ENROLLMENT DISCHARGE '!L457</f>
        <v>0</v>
      </c>
      <c r="Y457" s="180" t="s">
        <v>0</v>
      </c>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O458+JULY!P459</f>
        <v>0</v>
      </c>
      <c r="Q458" s="60"/>
      <c r="R458" s="52"/>
      <c r="S458" s="66"/>
      <c r="T458" s="65"/>
      <c r="U458" s="68"/>
      <c r="V458" s="59"/>
      <c r="W458" s="6">
        <f>'CLIENT ENROLLMENT DISCHARGE '!M458</f>
        <v>0</v>
      </c>
      <c r="X458" s="76">
        <f>'CLIENT ENROLLMENT DISCHARGE '!L458</f>
        <v>0</v>
      </c>
      <c r="Y458" s="180" t="s">
        <v>0</v>
      </c>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O459+JULY!P460</f>
        <v>0</v>
      </c>
      <c r="Q459" s="59"/>
      <c r="R459" s="51"/>
      <c r="S459" s="65"/>
      <c r="T459" s="64"/>
      <c r="U459" s="67"/>
      <c r="V459" s="74"/>
      <c r="W459" s="6">
        <f>'CLIENT ENROLLMENT DISCHARGE '!M459</f>
        <v>0</v>
      </c>
      <c r="X459" s="76">
        <f>'CLIENT ENROLLMENT DISCHARGE '!L459</f>
        <v>0</v>
      </c>
      <c r="Y459" s="180" t="s">
        <v>0</v>
      </c>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O460+JULY!P461</f>
        <v>0</v>
      </c>
      <c r="Q460" s="60"/>
      <c r="R460" s="52"/>
      <c r="S460" s="66"/>
      <c r="T460" s="65"/>
      <c r="U460" s="68"/>
      <c r="V460" s="75"/>
      <c r="W460" s="6">
        <f>'CLIENT ENROLLMENT DISCHARGE '!M460</f>
        <v>0</v>
      </c>
      <c r="X460" s="76">
        <f>'CLIENT ENROLLMENT DISCHARGE '!L460</f>
        <v>0</v>
      </c>
      <c r="Y460" s="180" t="s">
        <v>0</v>
      </c>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O461+JULY!P462</f>
        <v>0</v>
      </c>
      <c r="Q461" s="59"/>
      <c r="R461" s="51"/>
      <c r="S461" s="65"/>
      <c r="T461" s="64"/>
      <c r="U461" s="67"/>
      <c r="V461" s="74"/>
      <c r="W461" s="6">
        <f>'CLIENT ENROLLMENT DISCHARGE '!M461</f>
        <v>0</v>
      </c>
      <c r="X461" s="76">
        <f>'CLIENT ENROLLMENT DISCHARGE '!L461</f>
        <v>0</v>
      </c>
      <c r="Y461" s="180" t="s">
        <v>0</v>
      </c>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O462+JULY!P463</f>
        <v>0</v>
      </c>
      <c r="Q462" s="60"/>
      <c r="R462" s="52"/>
      <c r="S462" s="66"/>
      <c r="T462" s="65"/>
      <c r="U462" s="68"/>
      <c r="V462" s="59"/>
      <c r="W462" s="6">
        <f>'CLIENT ENROLLMENT DISCHARGE '!M462</f>
        <v>0</v>
      </c>
      <c r="X462" s="76">
        <f>'CLIENT ENROLLMENT DISCHARGE '!L462</f>
        <v>0</v>
      </c>
      <c r="Y462" s="180" t="s">
        <v>0</v>
      </c>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O463+JULY!P464</f>
        <v>0</v>
      </c>
      <c r="Q463" s="59"/>
      <c r="R463" s="51"/>
      <c r="S463" s="65"/>
      <c r="T463" s="64"/>
      <c r="U463" s="67"/>
      <c r="V463" s="74"/>
      <c r="W463" s="6">
        <f>'CLIENT ENROLLMENT DISCHARGE '!M463</f>
        <v>0</v>
      </c>
      <c r="X463" s="76">
        <f>'CLIENT ENROLLMENT DISCHARGE '!L463</f>
        <v>0</v>
      </c>
      <c r="Y463" s="180" t="s">
        <v>0</v>
      </c>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O464+JULY!P465</f>
        <v>0</v>
      </c>
      <c r="Q464" s="60"/>
      <c r="R464" s="52"/>
      <c r="S464" s="66"/>
      <c r="T464" s="65"/>
      <c r="U464" s="68"/>
      <c r="V464" s="59"/>
      <c r="W464" s="6">
        <f>'CLIENT ENROLLMENT DISCHARGE '!M464</f>
        <v>0</v>
      </c>
      <c r="X464" s="76">
        <f>'CLIENT ENROLLMENT DISCHARGE '!L464</f>
        <v>0</v>
      </c>
      <c r="Y464" s="180" t="s">
        <v>0</v>
      </c>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O465+JULY!P466</f>
        <v>0</v>
      </c>
      <c r="Q465" s="59"/>
      <c r="R465" s="51"/>
      <c r="S465" s="65"/>
      <c r="T465" s="64"/>
      <c r="U465" s="67"/>
      <c r="V465" s="74"/>
      <c r="W465" s="6">
        <f>'CLIENT ENROLLMENT DISCHARGE '!M465</f>
        <v>0</v>
      </c>
      <c r="X465" s="76">
        <f>'CLIENT ENROLLMENT DISCHARGE '!L465</f>
        <v>0</v>
      </c>
      <c r="Y465" s="180" t="s">
        <v>0</v>
      </c>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O466+JULY!P467</f>
        <v>0</v>
      </c>
      <c r="Q466" s="60"/>
      <c r="R466" s="52"/>
      <c r="S466" s="66"/>
      <c r="T466" s="65"/>
      <c r="U466" s="68"/>
      <c r="V466" s="59"/>
      <c r="W466" s="6">
        <f>'CLIENT ENROLLMENT DISCHARGE '!M466</f>
        <v>0</v>
      </c>
      <c r="X466" s="76">
        <f>'CLIENT ENROLLMENT DISCHARGE '!L466</f>
        <v>0</v>
      </c>
      <c r="Y466" s="180" t="s">
        <v>0</v>
      </c>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O467+JULY!P468</f>
        <v>0</v>
      </c>
      <c r="Q467" s="59"/>
      <c r="R467" s="51"/>
      <c r="S467" s="65"/>
      <c r="T467" s="64"/>
      <c r="U467" s="67"/>
      <c r="V467" s="74"/>
      <c r="W467" s="6">
        <f>'CLIENT ENROLLMENT DISCHARGE '!M467</f>
        <v>0</v>
      </c>
      <c r="X467" s="76">
        <f>'CLIENT ENROLLMENT DISCHARGE '!L467</f>
        <v>0</v>
      </c>
      <c r="Y467" s="180" t="s">
        <v>0</v>
      </c>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O468+JULY!P469</f>
        <v>0</v>
      </c>
      <c r="Q468" s="60"/>
      <c r="R468" s="52"/>
      <c r="S468" s="66"/>
      <c r="T468" s="65"/>
      <c r="U468" s="68"/>
      <c r="V468" s="59"/>
      <c r="W468" s="6">
        <f>'CLIENT ENROLLMENT DISCHARGE '!M468</f>
        <v>0</v>
      </c>
      <c r="X468" s="76">
        <f>'CLIENT ENROLLMENT DISCHARGE '!L468</f>
        <v>0</v>
      </c>
      <c r="Y468" s="180" t="s">
        <v>0</v>
      </c>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O469+JULY!P470</f>
        <v>0</v>
      </c>
      <c r="Q469" s="59"/>
      <c r="R469" s="51"/>
      <c r="S469" s="65"/>
      <c r="T469" s="64"/>
      <c r="U469" s="67"/>
      <c r="V469" s="74"/>
      <c r="W469" s="6">
        <f>'CLIENT ENROLLMENT DISCHARGE '!M469</f>
        <v>0</v>
      </c>
      <c r="X469" s="76">
        <f>'CLIENT ENROLLMENT DISCHARGE '!L469</f>
        <v>0</v>
      </c>
      <c r="Y469" s="180" t="s">
        <v>0</v>
      </c>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O470+JULY!P471</f>
        <v>0</v>
      </c>
      <c r="Q470" s="60"/>
      <c r="R470" s="52"/>
      <c r="S470" s="66"/>
      <c r="T470" s="65"/>
      <c r="U470" s="68"/>
      <c r="V470" s="75"/>
      <c r="W470" s="6">
        <f>'CLIENT ENROLLMENT DISCHARGE '!M470</f>
        <v>0</v>
      </c>
      <c r="X470" s="76">
        <f>'CLIENT ENROLLMENT DISCHARGE '!L470</f>
        <v>0</v>
      </c>
      <c r="Y470" s="180" t="s">
        <v>0</v>
      </c>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O471+JULY!P472</f>
        <v>0</v>
      </c>
      <c r="Q471" s="59"/>
      <c r="R471" s="51"/>
      <c r="S471" s="65"/>
      <c r="T471" s="64"/>
      <c r="U471" s="67"/>
      <c r="V471" s="74"/>
      <c r="W471" s="6">
        <f>'CLIENT ENROLLMENT DISCHARGE '!M471</f>
        <v>0</v>
      </c>
      <c r="X471" s="76">
        <f>'CLIENT ENROLLMENT DISCHARGE '!L471</f>
        <v>0</v>
      </c>
      <c r="Y471" s="180" t="s">
        <v>0</v>
      </c>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O472+JULY!P473</f>
        <v>0</v>
      </c>
      <c r="Q472" s="60"/>
      <c r="R472" s="52"/>
      <c r="S472" s="66"/>
      <c r="T472" s="65"/>
      <c r="U472" s="68"/>
      <c r="V472" s="59"/>
      <c r="W472" s="6">
        <f>'CLIENT ENROLLMENT DISCHARGE '!M472</f>
        <v>0</v>
      </c>
      <c r="X472" s="76">
        <f>'CLIENT ENROLLMENT DISCHARGE '!L472</f>
        <v>0</v>
      </c>
      <c r="Y472" s="180" t="s">
        <v>0</v>
      </c>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O473+JULY!P474</f>
        <v>0</v>
      </c>
      <c r="Q473" s="59"/>
      <c r="R473" s="51"/>
      <c r="S473" s="65"/>
      <c r="T473" s="64"/>
      <c r="U473" s="67"/>
      <c r="V473" s="74"/>
      <c r="W473" s="6">
        <f>'CLIENT ENROLLMENT DISCHARGE '!M473</f>
        <v>0</v>
      </c>
      <c r="X473" s="76">
        <f>'CLIENT ENROLLMENT DISCHARGE '!L473</f>
        <v>0</v>
      </c>
      <c r="Y473" s="180" t="s">
        <v>0</v>
      </c>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O474+JULY!P475</f>
        <v>0</v>
      </c>
      <c r="Q474" s="60"/>
      <c r="R474" s="52"/>
      <c r="S474" s="66"/>
      <c r="T474" s="65"/>
      <c r="U474" s="68"/>
      <c r="V474" s="59"/>
      <c r="W474" s="6">
        <f>'CLIENT ENROLLMENT DISCHARGE '!M474</f>
        <v>0</v>
      </c>
      <c r="X474" s="76">
        <f>'CLIENT ENROLLMENT DISCHARGE '!L474</f>
        <v>0</v>
      </c>
      <c r="Y474" s="180" t="s">
        <v>0</v>
      </c>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O475+JULY!P476</f>
        <v>0</v>
      </c>
      <c r="Q475" s="59"/>
      <c r="R475" s="51"/>
      <c r="S475" s="65"/>
      <c r="T475" s="64"/>
      <c r="U475" s="67"/>
      <c r="V475" s="74"/>
      <c r="W475" s="6">
        <f>'CLIENT ENROLLMENT DISCHARGE '!M475</f>
        <v>0</v>
      </c>
      <c r="X475" s="76">
        <f>'CLIENT ENROLLMENT DISCHARGE '!L475</f>
        <v>0</v>
      </c>
      <c r="Y475" s="180" t="s">
        <v>0</v>
      </c>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O476+JULY!P477</f>
        <v>0</v>
      </c>
      <c r="Q476" s="60"/>
      <c r="R476" s="52"/>
      <c r="S476" s="66"/>
      <c r="T476" s="65"/>
      <c r="U476" s="68"/>
      <c r="V476" s="59"/>
      <c r="W476" s="6">
        <f>'CLIENT ENROLLMENT DISCHARGE '!M476</f>
        <v>0</v>
      </c>
      <c r="X476" s="76">
        <f>'CLIENT ENROLLMENT DISCHARGE '!L476</f>
        <v>0</v>
      </c>
      <c r="Y476" s="180" t="s">
        <v>0</v>
      </c>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O477+JULY!P478</f>
        <v>0</v>
      </c>
      <c r="Q477" s="59"/>
      <c r="R477" s="51"/>
      <c r="S477" s="65"/>
      <c r="T477" s="64"/>
      <c r="U477" s="67"/>
      <c r="V477" s="74"/>
      <c r="W477" s="6">
        <f>'CLIENT ENROLLMENT DISCHARGE '!M477</f>
        <v>0</v>
      </c>
      <c r="X477" s="76">
        <f>'CLIENT ENROLLMENT DISCHARGE '!L477</f>
        <v>0</v>
      </c>
      <c r="Y477" s="180" t="s">
        <v>0</v>
      </c>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O478+JULY!P479</f>
        <v>0</v>
      </c>
      <c r="Q478" s="60"/>
      <c r="R478" s="52"/>
      <c r="S478" s="66"/>
      <c r="T478" s="65"/>
      <c r="U478" s="68"/>
      <c r="V478" s="59"/>
      <c r="W478" s="6">
        <f>'CLIENT ENROLLMENT DISCHARGE '!M478</f>
        <v>0</v>
      </c>
      <c r="X478" s="76">
        <f>'CLIENT ENROLLMENT DISCHARGE '!L478</f>
        <v>0</v>
      </c>
      <c r="Y478" s="180" t="s">
        <v>0</v>
      </c>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O479+JULY!P480</f>
        <v>0</v>
      </c>
      <c r="Q479" s="59"/>
      <c r="R479" s="51"/>
      <c r="S479" s="65"/>
      <c r="T479" s="64"/>
      <c r="U479" s="67"/>
      <c r="V479" s="74"/>
      <c r="W479" s="6">
        <f>'CLIENT ENROLLMENT DISCHARGE '!M479</f>
        <v>0</v>
      </c>
      <c r="X479" s="76">
        <f>'CLIENT ENROLLMENT DISCHARGE '!L479</f>
        <v>0</v>
      </c>
      <c r="Y479" s="180" t="s">
        <v>0</v>
      </c>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O480+JULY!P481</f>
        <v>0</v>
      </c>
      <c r="Q480" s="60"/>
      <c r="R480" s="52"/>
      <c r="S480" s="66"/>
      <c r="T480" s="65"/>
      <c r="U480" s="68"/>
      <c r="V480" s="75"/>
      <c r="W480" s="6">
        <f>'CLIENT ENROLLMENT DISCHARGE '!M480</f>
        <v>0</v>
      </c>
      <c r="X480" s="76">
        <f>'CLIENT ENROLLMENT DISCHARGE '!L480</f>
        <v>0</v>
      </c>
      <c r="Y480" s="180" t="s">
        <v>0</v>
      </c>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O481+JULY!P482</f>
        <v>0</v>
      </c>
      <c r="Q481" s="59"/>
      <c r="R481" s="51"/>
      <c r="S481" s="65"/>
      <c r="T481" s="64"/>
      <c r="U481" s="67"/>
      <c r="V481" s="74"/>
      <c r="W481" s="6">
        <f>'CLIENT ENROLLMENT DISCHARGE '!M481</f>
        <v>0</v>
      </c>
      <c r="X481" s="76">
        <f>'CLIENT ENROLLMENT DISCHARGE '!L481</f>
        <v>0</v>
      </c>
      <c r="Y481" s="180" t="s">
        <v>0</v>
      </c>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O482+JULY!P483</f>
        <v>0</v>
      </c>
      <c r="Q482" s="60"/>
      <c r="R482" s="52"/>
      <c r="S482" s="66"/>
      <c r="T482" s="65"/>
      <c r="U482" s="68"/>
      <c r="V482" s="59"/>
      <c r="W482" s="6">
        <f>'CLIENT ENROLLMENT DISCHARGE '!M482</f>
        <v>0</v>
      </c>
      <c r="X482" s="76">
        <f>'CLIENT ENROLLMENT DISCHARGE '!L482</f>
        <v>0</v>
      </c>
      <c r="Y482" s="180" t="s">
        <v>0</v>
      </c>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O483+JULY!P484</f>
        <v>0</v>
      </c>
      <c r="Q483" s="59"/>
      <c r="R483" s="51"/>
      <c r="S483" s="65"/>
      <c r="T483" s="64"/>
      <c r="U483" s="67"/>
      <c r="V483" s="74"/>
      <c r="W483" s="6">
        <f>'CLIENT ENROLLMENT DISCHARGE '!M483</f>
        <v>0</v>
      </c>
      <c r="X483" s="76">
        <f>'CLIENT ENROLLMENT DISCHARGE '!L483</f>
        <v>0</v>
      </c>
      <c r="Y483" s="180" t="s">
        <v>0</v>
      </c>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O484+JULY!P485</f>
        <v>0</v>
      </c>
      <c r="Q484" s="60"/>
      <c r="R484" s="52"/>
      <c r="S484" s="66"/>
      <c r="T484" s="65"/>
      <c r="U484" s="68"/>
      <c r="V484" s="59"/>
      <c r="W484" s="6">
        <f>'CLIENT ENROLLMENT DISCHARGE '!M484</f>
        <v>0</v>
      </c>
      <c r="X484" s="76">
        <f>'CLIENT ENROLLMENT DISCHARGE '!L484</f>
        <v>0</v>
      </c>
      <c r="Y484" s="180" t="s">
        <v>0</v>
      </c>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O485+JULY!P486</f>
        <v>0</v>
      </c>
      <c r="Q485" s="59"/>
      <c r="R485" s="51"/>
      <c r="S485" s="65"/>
      <c r="T485" s="64"/>
      <c r="U485" s="67"/>
      <c r="V485" s="74"/>
      <c r="W485" s="6">
        <f>'CLIENT ENROLLMENT DISCHARGE '!M485</f>
        <v>0</v>
      </c>
      <c r="X485" s="76">
        <f>'CLIENT ENROLLMENT DISCHARGE '!L485</f>
        <v>0</v>
      </c>
      <c r="Y485" s="180" t="s">
        <v>0</v>
      </c>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O486+JULY!P487</f>
        <v>0</v>
      </c>
      <c r="Q486" s="60"/>
      <c r="R486" s="52"/>
      <c r="S486" s="66"/>
      <c r="T486" s="65"/>
      <c r="U486" s="68"/>
      <c r="V486" s="59"/>
      <c r="W486" s="6">
        <f>'CLIENT ENROLLMENT DISCHARGE '!M486</f>
        <v>0</v>
      </c>
      <c r="X486" s="76">
        <f>'CLIENT ENROLLMENT DISCHARGE '!L486</f>
        <v>0</v>
      </c>
      <c r="Y486" s="180" t="s">
        <v>0</v>
      </c>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O487+JULY!P488</f>
        <v>0</v>
      </c>
      <c r="Q487" s="59"/>
      <c r="R487" s="51"/>
      <c r="S487" s="65"/>
      <c r="T487" s="64"/>
      <c r="U487" s="67"/>
      <c r="V487" s="74"/>
      <c r="W487" s="6">
        <f>'CLIENT ENROLLMENT DISCHARGE '!M487</f>
        <v>0</v>
      </c>
      <c r="X487" s="76">
        <f>'CLIENT ENROLLMENT DISCHARGE '!L487</f>
        <v>0</v>
      </c>
      <c r="Y487" s="180" t="s">
        <v>0</v>
      </c>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O488+JULY!P489</f>
        <v>0</v>
      </c>
      <c r="Q488" s="60"/>
      <c r="R488" s="52"/>
      <c r="S488" s="66"/>
      <c r="T488" s="65"/>
      <c r="U488" s="68"/>
      <c r="V488" s="59"/>
      <c r="W488" s="6">
        <f>'CLIENT ENROLLMENT DISCHARGE '!M488</f>
        <v>0</v>
      </c>
      <c r="X488" s="76">
        <f>'CLIENT ENROLLMENT DISCHARGE '!L488</f>
        <v>0</v>
      </c>
      <c r="Y488" s="180" t="s">
        <v>0</v>
      </c>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O489+JULY!P490</f>
        <v>0</v>
      </c>
      <c r="Q489" s="59"/>
      <c r="R489" s="51"/>
      <c r="S489" s="65"/>
      <c r="T489" s="64"/>
      <c r="U489" s="67"/>
      <c r="V489" s="74"/>
      <c r="W489" s="6">
        <f>'CLIENT ENROLLMENT DISCHARGE '!M489</f>
        <v>0</v>
      </c>
      <c r="X489" s="76">
        <f>'CLIENT ENROLLMENT DISCHARGE '!L489</f>
        <v>0</v>
      </c>
      <c r="Y489" s="180" t="s">
        <v>0</v>
      </c>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O490+JULY!P491</f>
        <v>0</v>
      </c>
      <c r="Q490" s="60"/>
      <c r="R490" s="52"/>
      <c r="S490" s="66"/>
      <c r="T490" s="65"/>
      <c r="U490" s="68"/>
      <c r="V490" s="75"/>
      <c r="W490" s="6">
        <f>'CLIENT ENROLLMENT DISCHARGE '!M490</f>
        <v>0</v>
      </c>
      <c r="X490" s="76">
        <f>'CLIENT ENROLLMENT DISCHARGE '!L490</f>
        <v>0</v>
      </c>
      <c r="Y490" s="180" t="s">
        <v>0</v>
      </c>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O491+JULY!P492</f>
        <v>0</v>
      </c>
      <c r="Q491" s="59"/>
      <c r="R491" s="51"/>
      <c r="S491" s="65"/>
      <c r="T491" s="64"/>
      <c r="U491" s="67"/>
      <c r="V491" s="74"/>
      <c r="W491" s="6">
        <f>'CLIENT ENROLLMENT DISCHARGE '!M491</f>
        <v>0</v>
      </c>
      <c r="X491" s="76">
        <f>'CLIENT ENROLLMENT DISCHARGE '!L491</f>
        <v>0</v>
      </c>
      <c r="Y491" s="180" t="s">
        <v>0</v>
      </c>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O492+JULY!P493</f>
        <v>0</v>
      </c>
      <c r="Q492" s="60"/>
      <c r="R492" s="52"/>
      <c r="S492" s="66"/>
      <c r="T492" s="65"/>
      <c r="U492" s="68"/>
      <c r="V492" s="59"/>
      <c r="W492" s="6">
        <f>'CLIENT ENROLLMENT DISCHARGE '!M492</f>
        <v>0</v>
      </c>
      <c r="X492" s="76">
        <f>'CLIENT ENROLLMENT DISCHARGE '!L492</f>
        <v>0</v>
      </c>
      <c r="Y492" s="180" t="s">
        <v>0</v>
      </c>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O493+JULY!P494</f>
        <v>0</v>
      </c>
      <c r="Q493" s="59"/>
      <c r="R493" s="51"/>
      <c r="S493" s="65"/>
      <c r="T493" s="64"/>
      <c r="U493" s="67"/>
      <c r="V493" s="74"/>
      <c r="W493" s="6">
        <f>'CLIENT ENROLLMENT DISCHARGE '!M493</f>
        <v>0</v>
      </c>
      <c r="X493" s="76">
        <f>'CLIENT ENROLLMENT DISCHARGE '!L493</f>
        <v>0</v>
      </c>
      <c r="Y493" s="180" t="s">
        <v>0</v>
      </c>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O494+JULY!P495</f>
        <v>0</v>
      </c>
      <c r="Q494" s="60"/>
      <c r="R494" s="52"/>
      <c r="S494" s="66"/>
      <c r="T494" s="65"/>
      <c r="U494" s="68"/>
      <c r="V494" s="59"/>
      <c r="W494" s="6">
        <f>'CLIENT ENROLLMENT DISCHARGE '!M494</f>
        <v>0</v>
      </c>
      <c r="X494" s="76">
        <f>'CLIENT ENROLLMENT DISCHARGE '!L494</f>
        <v>0</v>
      </c>
      <c r="Y494" s="180" t="s">
        <v>0</v>
      </c>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O495+JULY!P496</f>
        <v>0</v>
      </c>
      <c r="Q495" s="59"/>
      <c r="R495" s="51"/>
      <c r="S495" s="65"/>
      <c r="T495" s="64"/>
      <c r="U495" s="67"/>
      <c r="V495" s="74"/>
      <c r="W495" s="6">
        <f>'CLIENT ENROLLMENT DISCHARGE '!M495</f>
        <v>0</v>
      </c>
      <c r="X495" s="76">
        <f>'CLIENT ENROLLMENT DISCHARGE '!L495</f>
        <v>0</v>
      </c>
      <c r="Y495" s="180" t="s">
        <v>0</v>
      </c>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O496+JULY!P497</f>
        <v>0</v>
      </c>
      <c r="Q496" s="60"/>
      <c r="R496" s="52"/>
      <c r="S496" s="66"/>
      <c r="T496" s="65"/>
      <c r="U496" s="68"/>
      <c r="V496" s="59"/>
      <c r="W496" s="6">
        <f>'CLIENT ENROLLMENT DISCHARGE '!M496</f>
        <v>0</v>
      </c>
      <c r="X496" s="76">
        <f>'CLIENT ENROLLMENT DISCHARGE '!L496</f>
        <v>0</v>
      </c>
      <c r="Y496" s="180" t="s">
        <v>0</v>
      </c>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O497+JULY!P498</f>
        <v>0</v>
      </c>
      <c r="Q497" s="59"/>
      <c r="R497" s="51"/>
      <c r="S497" s="65"/>
      <c r="T497" s="64"/>
      <c r="U497" s="67"/>
      <c r="V497" s="74"/>
      <c r="W497" s="6">
        <f>'CLIENT ENROLLMENT DISCHARGE '!M497</f>
        <v>0</v>
      </c>
      <c r="X497" s="76">
        <f>'CLIENT ENROLLMENT DISCHARGE '!L497</f>
        <v>0</v>
      </c>
      <c r="Y497" s="180" t="s">
        <v>0</v>
      </c>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O498+JULY!P499</f>
        <v>0</v>
      </c>
      <c r="Q498" s="60"/>
      <c r="R498" s="52"/>
      <c r="S498" s="66"/>
      <c r="T498" s="65"/>
      <c r="U498" s="68"/>
      <c r="V498" s="59"/>
      <c r="W498" s="6">
        <f>'CLIENT ENROLLMENT DISCHARGE '!M498</f>
        <v>0</v>
      </c>
      <c r="X498" s="76">
        <f>'CLIENT ENROLLMENT DISCHARGE '!L498</f>
        <v>0</v>
      </c>
      <c r="Y498" s="180" t="s">
        <v>0</v>
      </c>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O499+JULY!P500</f>
        <v>0</v>
      </c>
      <c r="Q499" s="59"/>
      <c r="R499" s="51"/>
      <c r="S499" s="65"/>
      <c r="T499" s="64"/>
      <c r="U499" s="67"/>
      <c r="V499" s="74"/>
      <c r="W499" s="6">
        <f>'CLIENT ENROLLMENT DISCHARGE '!M499</f>
        <v>0</v>
      </c>
      <c r="X499" s="76">
        <f>'CLIENT ENROLLMENT DISCHARGE '!L499</f>
        <v>0</v>
      </c>
      <c r="Y499" s="180" t="s">
        <v>0</v>
      </c>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O500+JULY!P501</f>
        <v>0</v>
      </c>
      <c r="Q500" s="60"/>
      <c r="R500" s="52"/>
      <c r="S500" s="66"/>
      <c r="T500" s="65"/>
      <c r="U500" s="68"/>
      <c r="V500" s="75"/>
      <c r="W500" s="6">
        <f>'CLIENT ENROLLMENT DISCHARGE '!M500</f>
        <v>0</v>
      </c>
      <c r="X500" s="76">
        <f>'CLIENT ENROLLMENT DISCHARGE '!L500</f>
        <v>0</v>
      </c>
      <c r="Y500" s="180" t="s">
        <v>0</v>
      </c>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O501+JULY!P502</f>
        <v>0</v>
      </c>
      <c r="Q501" s="59"/>
      <c r="R501" s="51"/>
      <c r="S501" s="65"/>
      <c r="T501" s="64"/>
      <c r="U501" s="67"/>
      <c r="V501" s="74"/>
      <c r="W501" s="6">
        <f>'CLIENT ENROLLMENT DISCHARGE '!M501</f>
        <v>0</v>
      </c>
      <c r="X501" s="76">
        <f>'CLIENT ENROLLMENT DISCHARGE '!L501</f>
        <v>0</v>
      </c>
      <c r="Y501" s="180" t="s">
        <v>0</v>
      </c>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O502+JULY!P503</f>
        <v>0</v>
      </c>
      <c r="Q502" s="60"/>
      <c r="R502" s="52"/>
      <c r="S502" s="66"/>
      <c r="T502" s="65"/>
      <c r="U502" s="68"/>
      <c r="V502" s="59"/>
      <c r="W502" s="6">
        <f>'CLIENT ENROLLMENT DISCHARGE '!M502</f>
        <v>0</v>
      </c>
      <c r="X502" s="76">
        <f>'CLIENT ENROLLMENT DISCHARGE '!L502</f>
        <v>0</v>
      </c>
      <c r="Y502" s="180" t="s">
        <v>0</v>
      </c>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O503+JULY!P504</f>
        <v>0</v>
      </c>
      <c r="Q503" s="59"/>
      <c r="R503" s="51"/>
      <c r="S503" s="65"/>
      <c r="T503" s="64"/>
      <c r="U503" s="67"/>
      <c r="V503" s="74"/>
      <c r="W503" s="6">
        <f>'CLIENT ENROLLMENT DISCHARGE '!M503</f>
        <v>0</v>
      </c>
      <c r="X503" s="76">
        <f>'CLIENT ENROLLMENT DISCHARGE '!L503</f>
        <v>0</v>
      </c>
      <c r="Y503" s="180" t="s">
        <v>0</v>
      </c>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O504+JULY!P505</f>
        <v>0</v>
      </c>
      <c r="Q504" s="60"/>
      <c r="R504" s="52"/>
      <c r="S504" s="66"/>
      <c r="T504" s="65"/>
      <c r="U504" s="68"/>
      <c r="V504" s="59"/>
      <c r="W504" s="6">
        <f>'CLIENT ENROLLMENT DISCHARGE '!M504</f>
        <v>0</v>
      </c>
      <c r="X504" s="76">
        <f>'CLIENT ENROLLMENT DISCHARGE '!L504</f>
        <v>0</v>
      </c>
      <c r="Y504" s="180" t="s">
        <v>0</v>
      </c>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O505+JULY!P506</f>
        <v>0</v>
      </c>
      <c r="Q505" s="59"/>
      <c r="R505" s="51"/>
      <c r="S505" s="65"/>
      <c r="T505" s="64"/>
      <c r="U505" s="67"/>
      <c r="V505" s="74"/>
      <c r="W505" s="6">
        <f>'CLIENT ENROLLMENT DISCHARGE '!M505</f>
        <v>0</v>
      </c>
      <c r="X505" s="76">
        <f>'CLIENT ENROLLMENT DISCHARGE '!L505</f>
        <v>0</v>
      </c>
      <c r="Y505" s="180" t="s">
        <v>0</v>
      </c>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O506+JULY!P507</f>
        <v>0</v>
      </c>
      <c r="Q506" s="60"/>
      <c r="R506" s="52"/>
      <c r="S506" s="66"/>
      <c r="T506" s="65"/>
      <c r="U506" s="68"/>
      <c r="V506" s="59"/>
      <c r="W506" s="6">
        <f>'CLIENT ENROLLMENT DISCHARGE '!M506</f>
        <v>0</v>
      </c>
      <c r="X506" s="76">
        <f>'CLIENT ENROLLMENT DISCHARGE '!L506</f>
        <v>0</v>
      </c>
      <c r="Y506" s="180" t="s">
        <v>0</v>
      </c>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O507+JULY!P508</f>
        <v>0</v>
      </c>
      <c r="Q507" s="59"/>
      <c r="R507" s="51"/>
      <c r="S507" s="65"/>
      <c r="T507" s="64"/>
      <c r="U507" s="67"/>
      <c r="V507" s="74"/>
      <c r="W507" s="6">
        <f>'CLIENT ENROLLMENT DISCHARGE '!M507</f>
        <v>0</v>
      </c>
      <c r="X507" s="76">
        <f>'CLIENT ENROLLMENT DISCHARGE '!L507</f>
        <v>0</v>
      </c>
      <c r="Y507" s="180" t="s">
        <v>0</v>
      </c>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O508+JULY!P509</f>
        <v>0</v>
      </c>
      <c r="Q508" s="60"/>
      <c r="R508" s="52"/>
      <c r="S508" s="66"/>
      <c r="T508" s="65"/>
      <c r="U508" s="68"/>
      <c r="V508" s="59"/>
      <c r="W508" s="6">
        <f>'CLIENT ENROLLMENT DISCHARGE '!M508</f>
        <v>0</v>
      </c>
      <c r="X508" s="76">
        <f>'CLIENT ENROLLMENT DISCHARGE '!L508</f>
        <v>0</v>
      </c>
      <c r="Y508" s="180" t="s">
        <v>0</v>
      </c>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O509+JULY!P510</f>
        <v>0</v>
      </c>
      <c r="Q509" s="59"/>
      <c r="R509" s="51"/>
      <c r="S509" s="65"/>
      <c r="T509" s="64"/>
      <c r="U509" s="67"/>
      <c r="V509" s="74"/>
      <c r="W509" s="6">
        <f>'CLIENT ENROLLMENT DISCHARGE '!M509</f>
        <v>0</v>
      </c>
      <c r="X509" s="76">
        <f>'CLIENT ENROLLMENT DISCHARGE '!L509</f>
        <v>0</v>
      </c>
      <c r="Y509" s="180" t="s">
        <v>0</v>
      </c>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O510+JULY!P511</f>
        <v>0</v>
      </c>
      <c r="Q510" s="60"/>
      <c r="R510" s="52"/>
      <c r="S510" s="66"/>
      <c r="T510" s="65"/>
      <c r="U510" s="68"/>
      <c r="V510" s="75"/>
      <c r="W510" s="6">
        <f>'CLIENT ENROLLMENT DISCHARGE '!M510</f>
        <v>0</v>
      </c>
      <c r="X510" s="76">
        <f>'CLIENT ENROLLMENT DISCHARGE '!L510</f>
        <v>0</v>
      </c>
      <c r="Y510" s="180" t="s">
        <v>0</v>
      </c>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O511+JULY!P512</f>
        <v>0</v>
      </c>
      <c r="Q511" s="59"/>
      <c r="R511" s="51"/>
      <c r="S511" s="65"/>
      <c r="T511" s="64"/>
      <c r="U511" s="67"/>
      <c r="V511" s="74"/>
      <c r="W511" s="6">
        <f>'CLIENT ENROLLMENT DISCHARGE '!M511</f>
        <v>0</v>
      </c>
      <c r="X511" s="76">
        <f>'CLIENT ENROLLMENT DISCHARGE '!L511</f>
        <v>0</v>
      </c>
      <c r="Y511" s="180" t="s">
        <v>0</v>
      </c>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O512+JULY!P513</f>
        <v>0</v>
      </c>
      <c r="Q512" s="60"/>
      <c r="R512" s="52"/>
      <c r="S512" s="66"/>
      <c r="T512" s="65"/>
      <c r="U512" s="68"/>
      <c r="V512" s="59"/>
      <c r="W512" s="6">
        <f>'CLIENT ENROLLMENT DISCHARGE '!M512</f>
        <v>0</v>
      </c>
      <c r="X512" s="76">
        <f>'CLIENT ENROLLMENT DISCHARGE '!L512</f>
        <v>0</v>
      </c>
      <c r="Y512" s="180" t="s">
        <v>0</v>
      </c>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O513+JULY!P514</f>
        <v>0</v>
      </c>
      <c r="Q513" s="59"/>
      <c r="R513" s="51"/>
      <c r="S513" s="65"/>
      <c r="T513" s="64"/>
      <c r="U513" s="67"/>
      <c r="V513" s="74"/>
      <c r="W513" s="6">
        <f>'CLIENT ENROLLMENT DISCHARGE '!M513</f>
        <v>0</v>
      </c>
      <c r="X513" s="76">
        <f>'CLIENT ENROLLMENT DISCHARGE '!L513</f>
        <v>0</v>
      </c>
      <c r="Y513" s="180" t="s">
        <v>0</v>
      </c>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O514+JULY!P515</f>
        <v>0</v>
      </c>
      <c r="Q514" s="60"/>
      <c r="R514" s="52"/>
      <c r="S514" s="66"/>
      <c r="T514" s="65"/>
      <c r="U514" s="68"/>
      <c r="V514" s="59"/>
      <c r="W514" s="6">
        <f>'CLIENT ENROLLMENT DISCHARGE '!M514</f>
        <v>0</v>
      </c>
      <c r="X514" s="76">
        <f>'CLIENT ENROLLMENT DISCHARGE '!L514</f>
        <v>0</v>
      </c>
      <c r="Y514" s="180" t="s">
        <v>0</v>
      </c>
    </row>
  </sheetData>
  <sheetProtection algorithmName="SHA-512" hashValue="LQvA+bQslZS2CvXQ6JTKc+wwoU5WTxoinKXF9XVTx85I4BZc2FG36TcDkrfRDLG8CRcLEwZn36I/NIlPS1w6Eg==" saltValue="GIa1lEX1HeaB9IcJjJSJvw=="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39" priority="2">
      <formula>$W15="YES"</formula>
    </cfRule>
  </conditionalFormatting>
  <conditionalFormatting sqref="A15:X514">
    <cfRule type="expression" dxfId="38" priority="1">
      <formula>$X15="YES"</formula>
    </cfRule>
  </conditionalFormatting>
  <conditionalFormatting sqref="H15:I514">
    <cfRule type="expression" dxfId="37" priority="10">
      <formula>$H15="Other (Specify) "</formula>
    </cfRule>
  </conditionalFormatting>
  <conditionalFormatting sqref="J24:K27">
    <cfRule type="expression" dxfId="36" priority="6">
      <formula>$W24="YES"</formula>
    </cfRule>
  </conditionalFormatting>
  <dataValidations count="4">
    <dataValidation allowBlank="1" showInputMessage="1" showErrorMessage="1" prompt="auto populates" sqref="B15:C514" xr:uid="{00000000-0002-0000-0500-000000000000}"/>
    <dataValidation allowBlank="1" showInputMessage="1" showErrorMessage="1" prompt="Note Section for Column H" sqref="I15:I514" xr:uid="{00000000-0002-0000-0500-000001000000}"/>
    <dataValidation allowBlank="1" showInputMessage="1" showErrorMessage="1" prompt="will auto populate" sqref="W15:W514" xr:uid="{00000000-0002-0000-0500-000002000000}"/>
    <dataValidation allowBlank="1" showInputMessage="1" showErrorMessage="1" prompt="Use MM/DD/YYYY format.  Leave blank until date is needed. " sqref="J15:J514" xr:uid="{00000000-0002-0000-05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4000000}">
          <x14:formula1>
            <xm:f>'drop down list '!$P$15:$P$20</xm:f>
          </x14:formula1>
          <xm:sqref>G9:I9</xm:sqref>
        </x14:dataValidation>
        <x14:dataValidation type="list" allowBlank="1" showInputMessage="1" showErrorMessage="1" xr:uid="{00000000-0002-0000-0500-000005000000}">
          <x14:formula1>
            <xm:f>'drop down list '!$N$12:$N$23</xm:f>
          </x14:formula1>
          <xm:sqref>E9:F9</xm:sqref>
        </x14:dataValidation>
        <x14:dataValidation type="list" allowBlank="1" showInputMessage="1" showErrorMessage="1" xr:uid="{00000000-0002-0000-0500-000006000000}">
          <x14:formula1>
            <xm:f>'drop down list '!$G$14:$G$18</xm:f>
          </x14:formula1>
          <xm:sqref>V15:V514</xm:sqref>
        </x14:dataValidation>
        <x14:dataValidation type="list" allowBlank="1" showInputMessage="1" showErrorMessage="1" xr:uid="{00000000-0002-0000-0500-000007000000}">
          <x14:formula1>
            <xm:f>'drop down list '!$G$24:$G$29</xm:f>
          </x14:formula1>
          <xm:sqref>U15:U514</xm:sqref>
        </x14:dataValidation>
        <x14:dataValidation type="list" allowBlank="1" showInputMessage="1" showErrorMessage="1" xr:uid="{00000000-0002-0000-0500-000008000000}">
          <x14:formula1>
            <xm:f>'drop down list '!$A$21:$A$23</xm:f>
          </x14:formula1>
          <xm:sqref>Q15:Q514</xm:sqref>
        </x14:dataValidation>
        <x14:dataValidation type="list" allowBlank="1" showInputMessage="1" showErrorMessage="1" xr:uid="{00000000-0002-0000-0500-000009000000}">
          <x14:formula1>
            <xm:f>'drop down list '!$C$2:$C$4</xm:f>
          </x14:formula1>
          <xm:sqref>H15:H514</xm:sqref>
        </x14:dataValidation>
        <x14:dataValidation type="list" allowBlank="1" showInputMessage="1" showErrorMessage="1" xr:uid="{00000000-0002-0000-0500-00000A000000}">
          <x14:formula1>
            <xm:f>'drop down list '!$A$3:$A$4</xm:f>
          </x14:formula1>
          <xm:sqref>D15:G514 L15:L514 R15:R514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Y514"/>
  <sheetViews>
    <sheetView topLeftCell="J1"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72</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143"/>
      <c r="K15" s="70"/>
      <c r="L15" s="52"/>
      <c r="M15" s="8"/>
      <c r="N15" s="7"/>
      <c r="O15" s="218">
        <f>K15*N15</f>
        <v>0</v>
      </c>
      <c r="P15" s="218">
        <f>O15+AUG!P15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144"/>
      <c r="K16" s="71"/>
      <c r="L16" s="53"/>
      <c r="M16" s="2"/>
      <c r="N16" s="1"/>
      <c r="O16" s="218">
        <f t="shared" ref="O16:O79" si="0">K16*N16</f>
        <v>0</v>
      </c>
      <c r="P16" s="218">
        <f>O16+AUG!P16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143"/>
      <c r="K17" s="70"/>
      <c r="L17" s="52"/>
      <c r="M17" s="8"/>
      <c r="N17" s="7"/>
      <c r="O17" s="218">
        <f t="shared" si="0"/>
        <v>0</v>
      </c>
      <c r="P17" s="218">
        <f>O17+AUG!P17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144"/>
      <c r="K18" s="71"/>
      <c r="L18" s="53"/>
      <c r="M18" s="2"/>
      <c r="N18" s="1"/>
      <c r="O18" s="218">
        <f t="shared" si="0"/>
        <v>0</v>
      </c>
      <c r="P18" s="218">
        <f>O18+AUG!P18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143"/>
      <c r="K19" s="70"/>
      <c r="L19" s="52"/>
      <c r="M19" s="8"/>
      <c r="N19" s="7"/>
      <c r="O19" s="218">
        <f t="shared" si="0"/>
        <v>0</v>
      </c>
      <c r="P19" s="218">
        <f>O19+AUG!P19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O20+AUG!P20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O21+AUG!P21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O22+AUG!P22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O23+AUG!P23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O24+AUG!P24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143"/>
      <c r="K25" s="70"/>
      <c r="L25" s="52"/>
      <c r="M25" s="8"/>
      <c r="N25" s="7"/>
      <c r="O25" s="218">
        <f t="shared" si="0"/>
        <v>0</v>
      </c>
      <c r="P25" s="218">
        <f>O25+AUG!P25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O26+AUG!P26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143"/>
      <c r="K27" s="70"/>
      <c r="L27" s="52"/>
      <c r="M27" s="8"/>
      <c r="N27" s="7"/>
      <c r="O27" s="218">
        <f t="shared" si="0"/>
        <v>0</v>
      </c>
      <c r="P27" s="218">
        <f>O27+AUG!P27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O28+AUG!P28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O29+AUG!P29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O30+AUG!P30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O31+AUG!P31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O32+AUG!P32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O33+AUG!P33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3"/>
      <c r="K34" s="71"/>
      <c r="L34" s="53"/>
      <c r="M34" s="2"/>
      <c r="N34" s="1"/>
      <c r="O34" s="218">
        <f t="shared" si="0"/>
        <v>0</v>
      </c>
      <c r="P34" s="218">
        <f>O34+AUG!P34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O35+AUG!P35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O36+AUG!P36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O37+AUG!P37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O38+AUG!P38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O39+AUG!P39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O40+AUG!P40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O41+AUG!P41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O42+AUG!P42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O43+AUG!P43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O44+AUG!P44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O45+AUG!P45</f>
        <v>0</v>
      </c>
      <c r="Q45" s="59"/>
      <c r="R45" s="51"/>
      <c r="S45" s="65"/>
      <c r="T45" s="64"/>
      <c r="U45" s="67"/>
      <c r="V45" s="74"/>
      <c r="W45" s="6">
        <f>'CLIENT ENROLLMENT DISCHARGE '!M45</f>
        <v>0</v>
      </c>
      <c r="X45" s="76"/>
      <c r="Y45" s="180"/>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O46+AUG!P46</f>
        <v>0</v>
      </c>
      <c r="Q46" s="60"/>
      <c r="R46" s="52"/>
      <c r="S46" s="66"/>
      <c r="T46" s="65"/>
      <c r="U46" s="68"/>
      <c r="V46" s="59"/>
      <c r="W46" s="6">
        <f>'CLIENT ENROLLMENT DISCHARGE '!M46</f>
        <v>0</v>
      </c>
      <c r="X46" s="76"/>
      <c r="Y46" s="180"/>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O47+AUG!P47</f>
        <v>0</v>
      </c>
      <c r="Q47" s="59"/>
      <c r="R47" s="51"/>
      <c r="S47" s="65"/>
      <c r="T47" s="64"/>
      <c r="U47" s="67"/>
      <c r="V47" s="74"/>
      <c r="W47" s="6">
        <f>'CLIENT ENROLLMENT DISCHARGE '!M47</f>
        <v>0</v>
      </c>
      <c r="X47" s="76"/>
      <c r="Y47" s="180"/>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O48+AUG!P48</f>
        <v>0</v>
      </c>
      <c r="Q48" s="60"/>
      <c r="R48" s="52"/>
      <c r="S48" s="66"/>
      <c r="T48" s="65"/>
      <c r="U48" s="68"/>
      <c r="V48" s="59"/>
      <c r="W48" s="6">
        <f>'CLIENT ENROLLMENT DISCHARGE '!M48</f>
        <v>0</v>
      </c>
      <c r="X48" s="76"/>
      <c r="Y48" s="180"/>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O49+AUG!P49</f>
        <v>0</v>
      </c>
      <c r="Q49" s="59"/>
      <c r="R49" s="51"/>
      <c r="S49" s="65"/>
      <c r="T49" s="64"/>
      <c r="U49" s="67"/>
      <c r="V49" s="74"/>
      <c r="W49" s="6">
        <f>'CLIENT ENROLLMENT DISCHARGE '!M49</f>
        <v>0</v>
      </c>
      <c r="X49" s="76"/>
      <c r="Y49" s="180"/>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O50+AUG!P50</f>
        <v>0</v>
      </c>
      <c r="Q50" s="60"/>
      <c r="R50" s="52"/>
      <c r="S50" s="66"/>
      <c r="T50" s="65"/>
      <c r="U50" s="68"/>
      <c r="V50" s="75"/>
      <c r="W50" s="6">
        <f>'CLIENT ENROLLMENT DISCHARGE '!M50</f>
        <v>0</v>
      </c>
      <c r="X50" s="76"/>
      <c r="Y50" s="180"/>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O51+AUG!P51</f>
        <v>0</v>
      </c>
      <c r="Q51" s="59"/>
      <c r="R51" s="51"/>
      <c r="S51" s="65"/>
      <c r="T51" s="64"/>
      <c r="U51" s="67"/>
      <c r="V51" s="74"/>
      <c r="W51" s="6">
        <f>'CLIENT ENROLLMENT DISCHARGE '!M51</f>
        <v>0</v>
      </c>
      <c r="X51" s="76"/>
      <c r="Y51" s="180"/>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O52+AUG!P52</f>
        <v>0</v>
      </c>
      <c r="Q52" s="60"/>
      <c r="R52" s="52"/>
      <c r="S52" s="66"/>
      <c r="T52" s="65"/>
      <c r="U52" s="68"/>
      <c r="V52" s="59"/>
      <c r="W52" s="6">
        <f>'CLIENT ENROLLMENT DISCHARGE '!M52</f>
        <v>0</v>
      </c>
      <c r="X52" s="76"/>
      <c r="Y52" s="180"/>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O53+AUG!P53</f>
        <v>0</v>
      </c>
      <c r="Q53" s="59"/>
      <c r="R53" s="51"/>
      <c r="S53" s="65"/>
      <c r="T53" s="64"/>
      <c r="U53" s="67"/>
      <c r="V53" s="74"/>
      <c r="W53" s="6">
        <f>'CLIENT ENROLLMENT DISCHARGE '!M53</f>
        <v>0</v>
      </c>
      <c r="X53" s="76"/>
      <c r="Y53" s="180"/>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O54+AUG!P54</f>
        <v>0</v>
      </c>
      <c r="Q54" s="60"/>
      <c r="R54" s="52"/>
      <c r="S54" s="66"/>
      <c r="T54" s="65"/>
      <c r="U54" s="68"/>
      <c r="V54" s="59"/>
      <c r="W54" s="6">
        <f>'CLIENT ENROLLMENT DISCHARGE '!M54</f>
        <v>0</v>
      </c>
      <c r="X54" s="76"/>
      <c r="Y54" s="180"/>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O55+AUG!P55</f>
        <v>0</v>
      </c>
      <c r="Q55" s="59"/>
      <c r="R55" s="51"/>
      <c r="S55" s="65"/>
      <c r="T55" s="64"/>
      <c r="U55" s="67"/>
      <c r="V55" s="74"/>
      <c r="W55" s="6">
        <f>'CLIENT ENROLLMENT DISCHARGE '!M55</f>
        <v>0</v>
      </c>
      <c r="X55" s="76"/>
      <c r="Y55" s="180"/>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O56+AUG!P56</f>
        <v>0</v>
      </c>
      <c r="Q56" s="60"/>
      <c r="R56" s="52"/>
      <c r="S56" s="66"/>
      <c r="T56" s="65"/>
      <c r="U56" s="68"/>
      <c r="V56" s="59"/>
      <c r="W56" s="6">
        <f>'CLIENT ENROLLMENT DISCHARGE '!M56</f>
        <v>0</v>
      </c>
      <c r="X56" s="76"/>
      <c r="Y56" s="180"/>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O57+AUG!P57</f>
        <v>0</v>
      </c>
      <c r="Q57" s="59"/>
      <c r="R57" s="51"/>
      <c r="S57" s="65"/>
      <c r="T57" s="64"/>
      <c r="U57" s="67"/>
      <c r="V57" s="74"/>
      <c r="W57" s="6">
        <f>'CLIENT ENROLLMENT DISCHARGE '!M57</f>
        <v>0</v>
      </c>
      <c r="X57" s="76"/>
      <c r="Y57" s="180"/>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O58+AUG!P58</f>
        <v>0</v>
      </c>
      <c r="Q58" s="60"/>
      <c r="R58" s="52"/>
      <c r="S58" s="66"/>
      <c r="T58" s="65"/>
      <c r="U58" s="68"/>
      <c r="V58" s="59"/>
      <c r="W58" s="6">
        <f>'CLIENT ENROLLMENT DISCHARGE '!M58</f>
        <v>0</v>
      </c>
      <c r="X58" s="76"/>
      <c r="Y58" s="180"/>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O59+AUG!P59</f>
        <v>0</v>
      </c>
      <c r="Q59" s="59"/>
      <c r="R59" s="51"/>
      <c r="S59" s="65"/>
      <c r="T59" s="64"/>
      <c r="U59" s="67"/>
      <c r="V59" s="74"/>
      <c r="W59" s="6">
        <f>'CLIENT ENROLLMENT DISCHARGE '!M59</f>
        <v>0</v>
      </c>
      <c r="X59" s="76"/>
      <c r="Y59" s="180"/>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O60+AUG!P60</f>
        <v>0</v>
      </c>
      <c r="Q60" s="60"/>
      <c r="R60" s="52"/>
      <c r="S60" s="66"/>
      <c r="T60" s="65"/>
      <c r="U60" s="68"/>
      <c r="V60" s="75"/>
      <c r="W60" s="6">
        <f>'CLIENT ENROLLMENT DISCHARGE '!M60</f>
        <v>0</v>
      </c>
      <c r="X60" s="76"/>
      <c r="Y60" s="180"/>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O61+AUG!P61</f>
        <v>0</v>
      </c>
      <c r="Q61" s="59"/>
      <c r="R61" s="51"/>
      <c r="S61" s="65"/>
      <c r="T61" s="64"/>
      <c r="U61" s="67"/>
      <c r="V61" s="74"/>
      <c r="W61" s="6">
        <f>'CLIENT ENROLLMENT DISCHARGE '!M61</f>
        <v>0</v>
      </c>
      <c r="X61" s="76"/>
      <c r="Y61" s="180"/>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O62+AUG!P62</f>
        <v>0</v>
      </c>
      <c r="Q62" s="60"/>
      <c r="R62" s="52"/>
      <c r="S62" s="66"/>
      <c r="T62" s="65"/>
      <c r="U62" s="68"/>
      <c r="V62" s="59"/>
      <c r="W62" s="6">
        <f>'CLIENT ENROLLMENT DISCHARGE '!M62</f>
        <v>0</v>
      </c>
      <c r="X62" s="76"/>
      <c r="Y62" s="180"/>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O63+AUG!P63</f>
        <v>0</v>
      </c>
      <c r="Q63" s="59"/>
      <c r="R63" s="51"/>
      <c r="S63" s="65"/>
      <c r="T63" s="64"/>
      <c r="U63" s="67"/>
      <c r="V63" s="74"/>
      <c r="W63" s="6">
        <f>'CLIENT ENROLLMENT DISCHARGE '!M63</f>
        <v>0</v>
      </c>
      <c r="X63" s="76"/>
      <c r="Y63" s="180"/>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O64+AUG!P64</f>
        <v>0</v>
      </c>
      <c r="Q64" s="60"/>
      <c r="R64" s="52"/>
      <c r="S64" s="66"/>
      <c r="T64" s="65"/>
      <c r="U64" s="68"/>
      <c r="V64" s="59"/>
      <c r="W64" s="6">
        <f>'CLIENT ENROLLMENT DISCHARGE '!M64</f>
        <v>0</v>
      </c>
      <c r="X64" s="76"/>
      <c r="Y64" s="180"/>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O65+AUG!P65</f>
        <v>0</v>
      </c>
      <c r="Q65" s="59"/>
      <c r="R65" s="51"/>
      <c r="S65" s="65"/>
      <c r="T65" s="64"/>
      <c r="U65" s="67"/>
      <c r="V65" s="74"/>
      <c r="W65" s="6">
        <f>'CLIENT ENROLLMENT DISCHARGE '!M65</f>
        <v>0</v>
      </c>
      <c r="X65" s="76"/>
      <c r="Y65" s="180"/>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O66+AUG!P66</f>
        <v>0</v>
      </c>
      <c r="Q66" s="60"/>
      <c r="R66" s="52"/>
      <c r="S66" s="66"/>
      <c r="T66" s="65"/>
      <c r="U66" s="68"/>
      <c r="V66" s="59"/>
      <c r="W66" s="6">
        <f>'CLIENT ENROLLMENT DISCHARGE '!M66</f>
        <v>0</v>
      </c>
      <c r="X66" s="76"/>
      <c r="Y66" s="180"/>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O67+AUG!P67</f>
        <v>0</v>
      </c>
      <c r="Q67" s="59"/>
      <c r="R67" s="51"/>
      <c r="S67" s="65"/>
      <c r="T67" s="64"/>
      <c r="U67" s="67"/>
      <c r="V67" s="74"/>
      <c r="W67" s="6">
        <f>'CLIENT ENROLLMENT DISCHARGE '!M67</f>
        <v>0</v>
      </c>
      <c r="X67" s="76"/>
      <c r="Y67" s="180"/>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O68+AUG!P68</f>
        <v>0</v>
      </c>
      <c r="Q68" s="60"/>
      <c r="R68" s="52"/>
      <c r="S68" s="66"/>
      <c r="T68" s="65"/>
      <c r="U68" s="68"/>
      <c r="V68" s="59"/>
      <c r="W68" s="6">
        <f>'CLIENT ENROLLMENT DISCHARGE '!M68</f>
        <v>0</v>
      </c>
      <c r="X68" s="76"/>
      <c r="Y68" s="180"/>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O69+AUG!P69</f>
        <v>0</v>
      </c>
      <c r="Q69" s="59"/>
      <c r="R69" s="51"/>
      <c r="S69" s="65"/>
      <c r="T69" s="64"/>
      <c r="U69" s="67"/>
      <c r="V69" s="74"/>
      <c r="W69" s="6">
        <f>'CLIENT ENROLLMENT DISCHARGE '!M69</f>
        <v>0</v>
      </c>
      <c r="X69" s="76"/>
      <c r="Y69" s="180"/>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O70+AUG!P70</f>
        <v>0</v>
      </c>
      <c r="Q70" s="60"/>
      <c r="R70" s="52"/>
      <c r="S70" s="66"/>
      <c r="T70" s="65"/>
      <c r="U70" s="68"/>
      <c r="V70" s="75"/>
      <c r="W70" s="6">
        <f>'CLIENT ENROLLMENT DISCHARGE '!M70</f>
        <v>0</v>
      </c>
      <c r="X70" s="76"/>
      <c r="Y70" s="180"/>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O71+AUG!P71</f>
        <v>0</v>
      </c>
      <c r="Q71" s="59"/>
      <c r="R71" s="51"/>
      <c r="S71" s="65"/>
      <c r="T71" s="64"/>
      <c r="U71" s="67"/>
      <c r="V71" s="74"/>
      <c r="W71" s="6">
        <f>'CLIENT ENROLLMENT DISCHARGE '!M71</f>
        <v>0</v>
      </c>
      <c r="X71" s="76"/>
      <c r="Y71" s="180"/>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O72+AUG!P72</f>
        <v>0</v>
      </c>
      <c r="Q72" s="60"/>
      <c r="R72" s="52"/>
      <c r="S72" s="66"/>
      <c r="T72" s="65"/>
      <c r="U72" s="68"/>
      <c r="V72" s="59"/>
      <c r="W72" s="6">
        <f>'CLIENT ENROLLMENT DISCHARGE '!M72</f>
        <v>0</v>
      </c>
      <c r="X72" s="76"/>
      <c r="Y72" s="180"/>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O73+AUG!P73</f>
        <v>0</v>
      </c>
      <c r="Q73" s="59"/>
      <c r="R73" s="51"/>
      <c r="S73" s="65"/>
      <c r="T73" s="64"/>
      <c r="U73" s="67"/>
      <c r="V73" s="74"/>
      <c r="W73" s="6">
        <f>'CLIENT ENROLLMENT DISCHARGE '!M73</f>
        <v>0</v>
      </c>
      <c r="X73" s="76"/>
      <c r="Y73" s="180"/>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O74+AUG!P74</f>
        <v>0</v>
      </c>
      <c r="Q74" s="60"/>
      <c r="R74" s="52"/>
      <c r="S74" s="66"/>
      <c r="T74" s="65"/>
      <c r="U74" s="68"/>
      <c r="V74" s="59"/>
      <c r="W74" s="6">
        <f>'CLIENT ENROLLMENT DISCHARGE '!M74</f>
        <v>0</v>
      </c>
      <c r="X74" s="76"/>
      <c r="Y74" s="180"/>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O75+AUG!P75</f>
        <v>0</v>
      </c>
      <c r="Q75" s="59"/>
      <c r="R75" s="51"/>
      <c r="S75" s="65"/>
      <c r="T75" s="64"/>
      <c r="U75" s="67"/>
      <c r="V75" s="74"/>
      <c r="W75" s="6">
        <f>'CLIENT ENROLLMENT DISCHARGE '!M75</f>
        <v>0</v>
      </c>
      <c r="X75" s="76"/>
      <c r="Y75" s="180"/>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O76+AUG!P76</f>
        <v>0</v>
      </c>
      <c r="Q76" s="60"/>
      <c r="R76" s="52"/>
      <c r="S76" s="66"/>
      <c r="T76" s="65"/>
      <c r="U76" s="68"/>
      <c r="V76" s="59"/>
      <c r="W76" s="6">
        <f>'CLIENT ENROLLMENT DISCHARGE '!M76</f>
        <v>0</v>
      </c>
      <c r="X76" s="76"/>
      <c r="Y76" s="180"/>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O77+AUG!P77</f>
        <v>0</v>
      </c>
      <c r="Q77" s="59"/>
      <c r="R77" s="51"/>
      <c r="S77" s="65"/>
      <c r="T77" s="64"/>
      <c r="U77" s="67"/>
      <c r="V77" s="74"/>
      <c r="W77" s="6">
        <f>'CLIENT ENROLLMENT DISCHARGE '!M77</f>
        <v>0</v>
      </c>
      <c r="X77" s="76"/>
      <c r="Y77" s="180"/>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O78+AUG!P78</f>
        <v>0</v>
      </c>
      <c r="Q78" s="60"/>
      <c r="R78" s="52"/>
      <c r="S78" s="66"/>
      <c r="T78" s="65"/>
      <c r="U78" s="68"/>
      <c r="V78" s="59"/>
      <c r="W78" s="6">
        <f>'CLIENT ENROLLMENT DISCHARGE '!M78</f>
        <v>0</v>
      </c>
      <c r="X78" s="76"/>
      <c r="Y78" s="180"/>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O79+AUG!P79</f>
        <v>0</v>
      </c>
      <c r="Q79" s="59"/>
      <c r="R79" s="51"/>
      <c r="S79" s="65"/>
      <c r="T79" s="64"/>
      <c r="U79" s="67"/>
      <c r="V79" s="74"/>
      <c r="W79" s="6">
        <f>'CLIENT ENROLLMENT DISCHARGE '!M79</f>
        <v>0</v>
      </c>
      <c r="X79" s="76"/>
      <c r="Y79" s="180"/>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O80+AUG!P80</f>
        <v>0</v>
      </c>
      <c r="Q80" s="60"/>
      <c r="R80" s="52"/>
      <c r="S80" s="66"/>
      <c r="T80" s="65"/>
      <c r="U80" s="68"/>
      <c r="V80" s="75"/>
      <c r="W80" s="6">
        <f>'CLIENT ENROLLMENT DISCHARGE '!M80</f>
        <v>0</v>
      </c>
      <c r="X80" s="76"/>
      <c r="Y80" s="180"/>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O81+AUG!P81</f>
        <v>0</v>
      </c>
      <c r="Q81" s="59"/>
      <c r="R81" s="51"/>
      <c r="S81" s="65"/>
      <c r="T81" s="64"/>
      <c r="U81" s="67"/>
      <c r="V81" s="74"/>
      <c r="W81" s="6">
        <f>'CLIENT ENROLLMENT DISCHARGE '!M81</f>
        <v>0</v>
      </c>
      <c r="X81" s="76"/>
      <c r="Y81" s="180"/>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O82+AUG!P82</f>
        <v>0</v>
      </c>
      <c r="Q82" s="60"/>
      <c r="R82" s="52"/>
      <c r="S82" s="66"/>
      <c r="T82" s="65"/>
      <c r="U82" s="68"/>
      <c r="V82" s="59"/>
      <c r="W82" s="6">
        <f>'CLIENT ENROLLMENT DISCHARGE '!M82</f>
        <v>0</v>
      </c>
      <c r="X82" s="76"/>
      <c r="Y82" s="180"/>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O83+AUG!P83</f>
        <v>0</v>
      </c>
      <c r="Q83" s="59"/>
      <c r="R83" s="51"/>
      <c r="S83" s="65"/>
      <c r="T83" s="64"/>
      <c r="U83" s="67"/>
      <c r="V83" s="74"/>
      <c r="W83" s="6">
        <f>'CLIENT ENROLLMENT DISCHARGE '!M83</f>
        <v>0</v>
      </c>
      <c r="X83" s="76"/>
      <c r="Y83" s="180"/>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O84+AUG!P84</f>
        <v>0</v>
      </c>
      <c r="Q84" s="60"/>
      <c r="R84" s="52"/>
      <c r="S84" s="66"/>
      <c r="T84" s="65"/>
      <c r="U84" s="68"/>
      <c r="V84" s="59"/>
      <c r="W84" s="6">
        <f>'CLIENT ENROLLMENT DISCHARGE '!M84</f>
        <v>0</v>
      </c>
      <c r="X84" s="76"/>
      <c r="Y84" s="180"/>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O85+AUG!P85</f>
        <v>0</v>
      </c>
      <c r="Q85" s="59"/>
      <c r="R85" s="51"/>
      <c r="S85" s="65"/>
      <c r="T85" s="64"/>
      <c r="U85" s="67"/>
      <c r="V85" s="74"/>
      <c r="W85" s="6">
        <f>'CLIENT ENROLLMENT DISCHARGE '!M85</f>
        <v>0</v>
      </c>
      <c r="X85" s="76"/>
      <c r="Y85" s="180"/>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O86+AUG!P86</f>
        <v>0</v>
      </c>
      <c r="Q86" s="60"/>
      <c r="R86" s="52"/>
      <c r="S86" s="66"/>
      <c r="T86" s="65"/>
      <c r="U86" s="68"/>
      <c r="V86" s="59"/>
      <c r="W86" s="6">
        <f>'CLIENT ENROLLMENT DISCHARGE '!M86</f>
        <v>0</v>
      </c>
      <c r="X86" s="76"/>
      <c r="Y86" s="180"/>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O87+AUG!P87</f>
        <v>0</v>
      </c>
      <c r="Q87" s="59"/>
      <c r="R87" s="51"/>
      <c r="S87" s="65"/>
      <c r="T87" s="64"/>
      <c r="U87" s="67"/>
      <c r="V87" s="74"/>
      <c r="W87" s="6">
        <f>'CLIENT ENROLLMENT DISCHARGE '!M87</f>
        <v>0</v>
      </c>
      <c r="X87" s="76"/>
      <c r="Y87" s="180"/>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O88+AUG!P88</f>
        <v>0</v>
      </c>
      <c r="Q88" s="60"/>
      <c r="R88" s="52"/>
      <c r="S88" s="66"/>
      <c r="T88" s="65"/>
      <c r="U88" s="68"/>
      <c r="V88" s="59"/>
      <c r="W88" s="6">
        <f>'CLIENT ENROLLMENT DISCHARGE '!M88</f>
        <v>0</v>
      </c>
      <c r="X88" s="76"/>
      <c r="Y88" s="180"/>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O89+AUG!P89</f>
        <v>0</v>
      </c>
      <c r="Q89" s="59"/>
      <c r="R89" s="51"/>
      <c r="S89" s="65"/>
      <c r="T89" s="64"/>
      <c r="U89" s="67"/>
      <c r="V89" s="74"/>
      <c r="W89" s="6">
        <f>'CLIENT ENROLLMENT DISCHARGE '!M89</f>
        <v>0</v>
      </c>
      <c r="X89" s="76"/>
      <c r="Y89" s="180"/>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O90+AUG!P90</f>
        <v>0</v>
      </c>
      <c r="Q90" s="60"/>
      <c r="R90" s="52"/>
      <c r="S90" s="66"/>
      <c r="T90" s="65"/>
      <c r="U90" s="68"/>
      <c r="V90" s="75"/>
      <c r="W90" s="6">
        <f>'CLIENT ENROLLMENT DISCHARGE '!M90</f>
        <v>0</v>
      </c>
      <c r="X90" s="76"/>
      <c r="Y90" s="180"/>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O91+AUG!P91</f>
        <v>0</v>
      </c>
      <c r="Q91" s="59"/>
      <c r="R91" s="51"/>
      <c r="S91" s="65"/>
      <c r="T91" s="64"/>
      <c r="U91" s="67"/>
      <c r="V91" s="74"/>
      <c r="W91" s="6">
        <f>'CLIENT ENROLLMENT DISCHARGE '!M91</f>
        <v>0</v>
      </c>
      <c r="X91" s="76"/>
      <c r="Y91" s="180"/>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O92+AUG!P92</f>
        <v>0</v>
      </c>
      <c r="Q92" s="60"/>
      <c r="R92" s="52"/>
      <c r="S92" s="66"/>
      <c r="T92" s="65"/>
      <c r="U92" s="68"/>
      <c r="V92" s="59"/>
      <c r="W92" s="6">
        <f>'CLIENT ENROLLMENT DISCHARGE '!M92</f>
        <v>0</v>
      </c>
      <c r="X92" s="76"/>
      <c r="Y92" s="180"/>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O93+AUG!P93</f>
        <v>0</v>
      </c>
      <c r="Q93" s="59"/>
      <c r="R93" s="51"/>
      <c r="S93" s="65"/>
      <c r="T93" s="64"/>
      <c r="U93" s="67"/>
      <c r="V93" s="74"/>
      <c r="W93" s="6">
        <f>'CLIENT ENROLLMENT DISCHARGE '!M93</f>
        <v>0</v>
      </c>
      <c r="X93" s="76"/>
      <c r="Y93" s="180"/>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O94+AUG!P94</f>
        <v>0</v>
      </c>
      <c r="Q94" s="60"/>
      <c r="R94" s="52"/>
      <c r="S94" s="66"/>
      <c r="T94" s="65"/>
      <c r="U94" s="68"/>
      <c r="V94" s="59"/>
      <c r="W94" s="6">
        <f>'CLIENT ENROLLMENT DISCHARGE '!M94</f>
        <v>0</v>
      </c>
      <c r="X94" s="76"/>
      <c r="Y94" s="180"/>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O95+AUG!P95</f>
        <v>0</v>
      </c>
      <c r="Q95" s="59"/>
      <c r="R95" s="51"/>
      <c r="S95" s="65"/>
      <c r="T95" s="64"/>
      <c r="U95" s="67"/>
      <c r="V95" s="74"/>
      <c r="W95" s="6">
        <f>'CLIENT ENROLLMENT DISCHARGE '!M95</f>
        <v>0</v>
      </c>
      <c r="X95" s="76"/>
      <c r="Y95" s="180"/>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O96+AUG!P96</f>
        <v>0</v>
      </c>
      <c r="Q96" s="60"/>
      <c r="R96" s="52"/>
      <c r="S96" s="66"/>
      <c r="T96" s="65"/>
      <c r="U96" s="68"/>
      <c r="V96" s="59"/>
      <c r="W96" s="6">
        <f>'CLIENT ENROLLMENT DISCHARGE '!M96</f>
        <v>0</v>
      </c>
      <c r="X96" s="76"/>
      <c r="Y96" s="180"/>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O97+AUG!P97</f>
        <v>0</v>
      </c>
      <c r="Q97" s="59"/>
      <c r="R97" s="51"/>
      <c r="S97" s="65"/>
      <c r="T97" s="64"/>
      <c r="U97" s="67"/>
      <c r="V97" s="74"/>
      <c r="W97" s="6">
        <f>'CLIENT ENROLLMENT DISCHARGE '!M97</f>
        <v>0</v>
      </c>
      <c r="X97" s="76"/>
      <c r="Y97" s="180"/>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O98+AUG!P98</f>
        <v>0</v>
      </c>
      <c r="Q98" s="60"/>
      <c r="R98" s="52"/>
      <c r="S98" s="66"/>
      <c r="T98" s="65"/>
      <c r="U98" s="68"/>
      <c r="V98" s="59"/>
      <c r="W98" s="6">
        <f>'CLIENT ENROLLMENT DISCHARGE '!M98</f>
        <v>0</v>
      </c>
      <c r="X98" s="76"/>
      <c r="Y98" s="180"/>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O99+AUG!P99</f>
        <v>0</v>
      </c>
      <c r="Q99" s="59"/>
      <c r="R99" s="51"/>
      <c r="S99" s="65"/>
      <c r="T99" s="64"/>
      <c r="U99" s="67"/>
      <c r="V99" s="74"/>
      <c r="W99" s="6">
        <f>'CLIENT ENROLLMENT DISCHARGE '!M99</f>
        <v>0</v>
      </c>
      <c r="X99" s="76"/>
      <c r="Y99" s="180"/>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O100+AUG!P100</f>
        <v>0</v>
      </c>
      <c r="Q100" s="60"/>
      <c r="R100" s="52"/>
      <c r="S100" s="66"/>
      <c r="T100" s="65"/>
      <c r="U100" s="68"/>
      <c r="V100" s="75"/>
      <c r="W100" s="6">
        <f>'CLIENT ENROLLMENT DISCHARGE '!M100</f>
        <v>0</v>
      </c>
      <c r="X100" s="76"/>
      <c r="Y100" s="180"/>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O101+AUG!P101</f>
        <v>0</v>
      </c>
      <c r="Q101" s="59"/>
      <c r="R101" s="51"/>
      <c r="S101" s="65"/>
      <c r="T101" s="64"/>
      <c r="U101" s="67"/>
      <c r="V101" s="74"/>
      <c r="W101" s="6">
        <f>'CLIENT ENROLLMENT DISCHARGE '!M101</f>
        <v>0</v>
      </c>
      <c r="X101" s="76"/>
      <c r="Y101" s="180"/>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O102+AUG!P102</f>
        <v>0</v>
      </c>
      <c r="Q102" s="60"/>
      <c r="R102" s="52"/>
      <c r="S102" s="66"/>
      <c r="T102" s="65"/>
      <c r="U102" s="68"/>
      <c r="V102" s="59"/>
      <c r="W102" s="6">
        <f>'CLIENT ENROLLMENT DISCHARGE '!M102</f>
        <v>0</v>
      </c>
      <c r="X102" s="76"/>
      <c r="Y102" s="180"/>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O103+AUG!P103</f>
        <v>0</v>
      </c>
      <c r="Q103" s="59"/>
      <c r="R103" s="51"/>
      <c r="S103" s="65"/>
      <c r="T103" s="64"/>
      <c r="U103" s="67"/>
      <c r="V103" s="74"/>
      <c r="W103" s="6">
        <f>'CLIENT ENROLLMENT DISCHARGE '!M103</f>
        <v>0</v>
      </c>
      <c r="X103" s="76"/>
      <c r="Y103" s="180"/>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O104+AUG!P104</f>
        <v>0</v>
      </c>
      <c r="Q104" s="60"/>
      <c r="R104" s="52"/>
      <c r="S104" s="66"/>
      <c r="T104" s="65"/>
      <c r="U104" s="68"/>
      <c r="V104" s="59"/>
      <c r="W104" s="6">
        <f>'CLIENT ENROLLMENT DISCHARGE '!M104</f>
        <v>0</v>
      </c>
      <c r="X104" s="76"/>
      <c r="Y104" s="180"/>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O105+AUG!P105</f>
        <v>0</v>
      </c>
      <c r="Q105" s="59"/>
      <c r="R105" s="51"/>
      <c r="S105" s="65"/>
      <c r="T105" s="64"/>
      <c r="U105" s="67"/>
      <c r="V105" s="74"/>
      <c r="W105" s="6">
        <f>'CLIENT ENROLLMENT DISCHARGE '!M105</f>
        <v>0</v>
      </c>
      <c r="X105" s="76"/>
      <c r="Y105" s="180"/>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O106+AUG!P106</f>
        <v>0</v>
      </c>
      <c r="Q106" s="60"/>
      <c r="R106" s="52"/>
      <c r="S106" s="66"/>
      <c r="T106" s="65"/>
      <c r="U106" s="68"/>
      <c r="V106" s="59"/>
      <c r="W106" s="6">
        <f>'CLIENT ENROLLMENT DISCHARGE '!M106</f>
        <v>0</v>
      </c>
      <c r="X106" s="76"/>
      <c r="Y106" s="180"/>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O107+AUG!P107</f>
        <v>0</v>
      </c>
      <c r="Q107" s="59"/>
      <c r="R107" s="51"/>
      <c r="S107" s="65"/>
      <c r="T107" s="64"/>
      <c r="U107" s="67"/>
      <c r="V107" s="74"/>
      <c r="W107" s="6">
        <f>'CLIENT ENROLLMENT DISCHARGE '!M107</f>
        <v>0</v>
      </c>
      <c r="X107" s="76"/>
      <c r="Y107" s="180"/>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O108+AUG!P108</f>
        <v>0</v>
      </c>
      <c r="Q108" s="60"/>
      <c r="R108" s="52"/>
      <c r="S108" s="66"/>
      <c r="T108" s="65"/>
      <c r="U108" s="68"/>
      <c r="V108" s="59"/>
      <c r="W108" s="6">
        <f>'CLIENT ENROLLMENT DISCHARGE '!M108</f>
        <v>0</v>
      </c>
      <c r="X108" s="76"/>
      <c r="Y108" s="180"/>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O109+AUG!P109</f>
        <v>0</v>
      </c>
      <c r="Q109" s="59"/>
      <c r="R109" s="51"/>
      <c r="S109" s="65"/>
      <c r="T109" s="64"/>
      <c r="U109" s="67"/>
      <c r="V109" s="74"/>
      <c r="W109" s="6">
        <f>'CLIENT ENROLLMENT DISCHARGE '!M109</f>
        <v>0</v>
      </c>
      <c r="X109" s="76"/>
      <c r="Y109" s="180"/>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O110+AUG!P110</f>
        <v>0</v>
      </c>
      <c r="Q110" s="60"/>
      <c r="R110" s="52"/>
      <c r="S110" s="66"/>
      <c r="T110" s="65"/>
      <c r="U110" s="68"/>
      <c r="V110" s="75"/>
      <c r="W110" s="6">
        <f>'CLIENT ENROLLMENT DISCHARGE '!M110</f>
        <v>0</v>
      </c>
      <c r="X110" s="76"/>
      <c r="Y110" s="180"/>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O111+AUG!P111</f>
        <v>0</v>
      </c>
      <c r="Q111" s="59"/>
      <c r="R111" s="51"/>
      <c r="S111" s="65"/>
      <c r="T111" s="64"/>
      <c r="U111" s="67"/>
      <c r="V111" s="74"/>
      <c r="W111" s="6">
        <f>'CLIENT ENROLLMENT DISCHARGE '!M111</f>
        <v>0</v>
      </c>
      <c r="X111" s="76"/>
      <c r="Y111" s="180"/>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O112+AUG!P112</f>
        <v>0</v>
      </c>
      <c r="Q112" s="60"/>
      <c r="R112" s="52"/>
      <c r="S112" s="66"/>
      <c r="T112" s="65"/>
      <c r="U112" s="68"/>
      <c r="V112" s="59"/>
      <c r="W112" s="6">
        <f>'CLIENT ENROLLMENT DISCHARGE '!M112</f>
        <v>0</v>
      </c>
      <c r="X112" s="76"/>
      <c r="Y112" s="180"/>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O113+AUG!P113</f>
        <v>0</v>
      </c>
      <c r="Q113" s="59"/>
      <c r="R113" s="51"/>
      <c r="S113" s="65"/>
      <c r="T113" s="64"/>
      <c r="U113" s="67"/>
      <c r="V113" s="74"/>
      <c r="W113" s="6">
        <f>'CLIENT ENROLLMENT DISCHARGE '!M113</f>
        <v>0</v>
      </c>
      <c r="X113" s="76"/>
      <c r="Y113" s="180"/>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O114+AUG!P114</f>
        <v>0</v>
      </c>
      <c r="Q114" s="60"/>
      <c r="R114" s="52"/>
      <c r="S114" s="66"/>
      <c r="T114" s="65"/>
      <c r="U114" s="68"/>
      <c r="V114" s="59"/>
      <c r="W114" s="6">
        <f>'CLIENT ENROLLMENT DISCHARGE '!M114</f>
        <v>0</v>
      </c>
      <c r="X114" s="76"/>
      <c r="Y114" s="180"/>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O115+AUG!P115</f>
        <v>0</v>
      </c>
      <c r="Q115" s="59"/>
      <c r="R115" s="51"/>
      <c r="S115" s="65"/>
      <c r="T115" s="64"/>
      <c r="U115" s="67"/>
      <c r="V115" s="74"/>
      <c r="W115" s="6">
        <f>'CLIENT ENROLLMENT DISCHARGE '!M115</f>
        <v>0</v>
      </c>
      <c r="X115" s="76"/>
      <c r="Y115" s="180"/>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O116+AUG!P116</f>
        <v>0</v>
      </c>
      <c r="Q116" s="60"/>
      <c r="R116" s="52"/>
      <c r="S116" s="66"/>
      <c r="T116" s="65"/>
      <c r="U116" s="68"/>
      <c r="V116" s="59"/>
      <c r="W116" s="6">
        <f>'CLIENT ENROLLMENT DISCHARGE '!M116</f>
        <v>0</v>
      </c>
      <c r="X116" s="76"/>
      <c r="Y116" s="180"/>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O117+AUG!P117</f>
        <v>0</v>
      </c>
      <c r="Q117" s="59"/>
      <c r="R117" s="51"/>
      <c r="S117" s="65"/>
      <c r="T117" s="64"/>
      <c r="U117" s="67"/>
      <c r="V117" s="74"/>
      <c r="W117" s="6">
        <f>'CLIENT ENROLLMENT DISCHARGE '!M117</f>
        <v>0</v>
      </c>
      <c r="X117" s="76"/>
      <c r="Y117" s="180"/>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O118+AUG!P118</f>
        <v>0</v>
      </c>
      <c r="Q118" s="60"/>
      <c r="R118" s="52"/>
      <c r="S118" s="66"/>
      <c r="T118" s="65"/>
      <c r="U118" s="68"/>
      <c r="V118" s="59"/>
      <c r="W118" s="6">
        <f>'CLIENT ENROLLMENT DISCHARGE '!M118</f>
        <v>0</v>
      </c>
      <c r="X118" s="76"/>
      <c r="Y118" s="180"/>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O119+AUG!P119</f>
        <v>0</v>
      </c>
      <c r="Q119" s="59"/>
      <c r="R119" s="51"/>
      <c r="S119" s="65"/>
      <c r="T119" s="64"/>
      <c r="U119" s="67"/>
      <c r="V119" s="74"/>
      <c r="W119" s="6">
        <f>'CLIENT ENROLLMENT DISCHARGE '!M119</f>
        <v>0</v>
      </c>
      <c r="X119" s="76"/>
      <c r="Y119" s="180"/>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O120+AUG!P120</f>
        <v>0</v>
      </c>
      <c r="Q120" s="60"/>
      <c r="R120" s="52"/>
      <c r="S120" s="66"/>
      <c r="T120" s="65"/>
      <c r="U120" s="68"/>
      <c r="V120" s="75"/>
      <c r="W120" s="6">
        <f>'CLIENT ENROLLMENT DISCHARGE '!M120</f>
        <v>0</v>
      </c>
      <c r="X120" s="76"/>
      <c r="Y120" s="180"/>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O121+AUG!P121</f>
        <v>0</v>
      </c>
      <c r="Q121" s="59"/>
      <c r="R121" s="51"/>
      <c r="S121" s="65"/>
      <c r="T121" s="64"/>
      <c r="U121" s="67"/>
      <c r="V121" s="74"/>
      <c r="W121" s="6">
        <f>'CLIENT ENROLLMENT DISCHARGE '!M121</f>
        <v>0</v>
      </c>
      <c r="X121" s="76"/>
      <c r="Y121" s="180"/>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O122+AUG!P122</f>
        <v>0</v>
      </c>
      <c r="Q122" s="60"/>
      <c r="R122" s="52"/>
      <c r="S122" s="66"/>
      <c r="T122" s="65"/>
      <c r="U122" s="68"/>
      <c r="V122" s="59"/>
      <c r="W122" s="6">
        <f>'CLIENT ENROLLMENT DISCHARGE '!M122</f>
        <v>0</v>
      </c>
      <c r="X122" s="76"/>
      <c r="Y122" s="180"/>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O123+AUG!P123</f>
        <v>0</v>
      </c>
      <c r="Q123" s="59"/>
      <c r="R123" s="51"/>
      <c r="S123" s="65"/>
      <c r="T123" s="64"/>
      <c r="U123" s="67"/>
      <c r="V123" s="74"/>
      <c r="W123" s="6">
        <f>'CLIENT ENROLLMENT DISCHARGE '!M123</f>
        <v>0</v>
      </c>
      <c r="X123" s="76"/>
      <c r="Y123" s="180"/>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O124+AUG!P124</f>
        <v>0</v>
      </c>
      <c r="Q124" s="60"/>
      <c r="R124" s="52"/>
      <c r="S124" s="66"/>
      <c r="T124" s="65"/>
      <c r="U124" s="68"/>
      <c r="V124" s="59"/>
      <c r="W124" s="6">
        <f>'CLIENT ENROLLMENT DISCHARGE '!M124</f>
        <v>0</v>
      </c>
      <c r="X124" s="76"/>
      <c r="Y124" s="180"/>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O125+AUG!P125</f>
        <v>0</v>
      </c>
      <c r="Q125" s="59"/>
      <c r="R125" s="51"/>
      <c r="S125" s="65"/>
      <c r="T125" s="64"/>
      <c r="U125" s="67"/>
      <c r="V125" s="74"/>
      <c r="W125" s="6">
        <f>'CLIENT ENROLLMENT DISCHARGE '!M125</f>
        <v>0</v>
      </c>
      <c r="X125" s="76"/>
      <c r="Y125" s="180"/>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O126+AUG!P126</f>
        <v>0</v>
      </c>
      <c r="Q126" s="60"/>
      <c r="R126" s="52"/>
      <c r="S126" s="66"/>
      <c r="T126" s="65"/>
      <c r="U126" s="68"/>
      <c r="V126" s="59"/>
      <c r="W126" s="6">
        <f>'CLIENT ENROLLMENT DISCHARGE '!M126</f>
        <v>0</v>
      </c>
      <c r="X126" s="76"/>
      <c r="Y126" s="180"/>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O127+AUG!P127</f>
        <v>0</v>
      </c>
      <c r="Q127" s="59"/>
      <c r="R127" s="51"/>
      <c r="S127" s="65"/>
      <c r="T127" s="64"/>
      <c r="U127" s="67"/>
      <c r="V127" s="74"/>
      <c r="W127" s="6">
        <f>'CLIENT ENROLLMENT DISCHARGE '!M127</f>
        <v>0</v>
      </c>
      <c r="X127" s="76"/>
      <c r="Y127" s="180"/>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O128+AUG!P128</f>
        <v>0</v>
      </c>
      <c r="Q128" s="60"/>
      <c r="R128" s="52"/>
      <c r="S128" s="66"/>
      <c r="T128" s="65"/>
      <c r="U128" s="68"/>
      <c r="V128" s="59"/>
      <c r="W128" s="6">
        <f>'CLIENT ENROLLMENT DISCHARGE '!M128</f>
        <v>0</v>
      </c>
      <c r="X128" s="76"/>
      <c r="Y128" s="180"/>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O129+AUG!P129</f>
        <v>0</v>
      </c>
      <c r="Q129" s="59"/>
      <c r="R129" s="51"/>
      <c r="S129" s="65"/>
      <c r="T129" s="64"/>
      <c r="U129" s="67"/>
      <c r="V129" s="74"/>
      <c r="W129" s="6">
        <f>'CLIENT ENROLLMENT DISCHARGE '!M129</f>
        <v>0</v>
      </c>
      <c r="X129" s="76"/>
      <c r="Y129" s="180"/>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O130+AUG!P130</f>
        <v>0</v>
      </c>
      <c r="Q130" s="60"/>
      <c r="R130" s="52"/>
      <c r="S130" s="66"/>
      <c r="T130" s="65"/>
      <c r="U130" s="68"/>
      <c r="V130" s="75"/>
      <c r="W130" s="6">
        <f>'CLIENT ENROLLMENT DISCHARGE '!M130</f>
        <v>0</v>
      </c>
      <c r="X130" s="76"/>
      <c r="Y130" s="180"/>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O131+AUG!P131</f>
        <v>0</v>
      </c>
      <c r="Q131" s="59"/>
      <c r="R131" s="51"/>
      <c r="S131" s="65"/>
      <c r="T131" s="64"/>
      <c r="U131" s="67"/>
      <c r="V131" s="74"/>
      <c r="W131" s="6">
        <f>'CLIENT ENROLLMENT DISCHARGE '!M131</f>
        <v>0</v>
      </c>
      <c r="X131" s="76"/>
      <c r="Y131" s="180"/>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O132+AUG!P132</f>
        <v>0</v>
      </c>
      <c r="Q132" s="60"/>
      <c r="R132" s="52"/>
      <c r="S132" s="66"/>
      <c r="T132" s="65"/>
      <c r="U132" s="68"/>
      <c r="V132" s="59"/>
      <c r="W132" s="6">
        <f>'CLIENT ENROLLMENT DISCHARGE '!M132</f>
        <v>0</v>
      </c>
      <c r="X132" s="76"/>
      <c r="Y132" s="180"/>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O133+AUG!P133</f>
        <v>0</v>
      </c>
      <c r="Q133" s="59"/>
      <c r="R133" s="51"/>
      <c r="S133" s="65"/>
      <c r="T133" s="64"/>
      <c r="U133" s="67"/>
      <c r="V133" s="74"/>
      <c r="W133" s="6">
        <f>'CLIENT ENROLLMENT DISCHARGE '!M133</f>
        <v>0</v>
      </c>
      <c r="X133" s="76"/>
      <c r="Y133" s="180"/>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O134+AUG!P134</f>
        <v>0</v>
      </c>
      <c r="Q134" s="60"/>
      <c r="R134" s="52"/>
      <c r="S134" s="66"/>
      <c r="T134" s="65"/>
      <c r="U134" s="68"/>
      <c r="V134" s="59"/>
      <c r="W134" s="6">
        <f>'CLIENT ENROLLMENT DISCHARGE '!M134</f>
        <v>0</v>
      </c>
      <c r="X134" s="76"/>
      <c r="Y134" s="180"/>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O135+AUG!P135</f>
        <v>0</v>
      </c>
      <c r="Q135" s="59"/>
      <c r="R135" s="51"/>
      <c r="S135" s="65"/>
      <c r="T135" s="64"/>
      <c r="U135" s="67"/>
      <c r="V135" s="74"/>
      <c r="W135" s="6">
        <f>'CLIENT ENROLLMENT DISCHARGE '!M135</f>
        <v>0</v>
      </c>
      <c r="X135" s="76"/>
      <c r="Y135" s="180"/>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O136+AUG!P136</f>
        <v>0</v>
      </c>
      <c r="Q136" s="60"/>
      <c r="R136" s="52"/>
      <c r="S136" s="66"/>
      <c r="T136" s="65"/>
      <c r="U136" s="68"/>
      <c r="V136" s="59"/>
      <c r="W136" s="6">
        <f>'CLIENT ENROLLMENT DISCHARGE '!M136</f>
        <v>0</v>
      </c>
      <c r="X136" s="76"/>
      <c r="Y136" s="180"/>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O137+AUG!P137</f>
        <v>0</v>
      </c>
      <c r="Q137" s="59"/>
      <c r="R137" s="51"/>
      <c r="S137" s="65"/>
      <c r="T137" s="64"/>
      <c r="U137" s="67"/>
      <c r="V137" s="74"/>
      <c r="W137" s="6">
        <f>'CLIENT ENROLLMENT DISCHARGE '!M137</f>
        <v>0</v>
      </c>
      <c r="X137" s="76"/>
      <c r="Y137" s="180"/>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O138+AUG!P138</f>
        <v>0</v>
      </c>
      <c r="Q138" s="60"/>
      <c r="R138" s="52"/>
      <c r="S138" s="66"/>
      <c r="T138" s="65"/>
      <c r="U138" s="68"/>
      <c r="V138" s="59"/>
      <c r="W138" s="6">
        <f>'CLIENT ENROLLMENT DISCHARGE '!M138</f>
        <v>0</v>
      </c>
      <c r="X138" s="76"/>
      <c r="Y138" s="180"/>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O139+AUG!P139</f>
        <v>0</v>
      </c>
      <c r="Q139" s="59"/>
      <c r="R139" s="51"/>
      <c r="S139" s="65"/>
      <c r="T139" s="64"/>
      <c r="U139" s="67"/>
      <c r="V139" s="74"/>
      <c r="W139" s="6">
        <f>'CLIENT ENROLLMENT DISCHARGE '!M139</f>
        <v>0</v>
      </c>
      <c r="X139" s="76"/>
      <c r="Y139" s="180"/>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O140+AUG!P140</f>
        <v>0</v>
      </c>
      <c r="Q140" s="60"/>
      <c r="R140" s="52"/>
      <c r="S140" s="66"/>
      <c r="T140" s="65"/>
      <c r="U140" s="68"/>
      <c r="V140" s="75"/>
      <c r="W140" s="6">
        <f>'CLIENT ENROLLMENT DISCHARGE '!M140</f>
        <v>0</v>
      </c>
      <c r="X140" s="76"/>
      <c r="Y140" s="180"/>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O141+AUG!P141</f>
        <v>0</v>
      </c>
      <c r="Q141" s="59"/>
      <c r="R141" s="51"/>
      <c r="S141" s="65"/>
      <c r="T141" s="64"/>
      <c r="U141" s="67"/>
      <c r="V141" s="74"/>
      <c r="W141" s="6">
        <f>'CLIENT ENROLLMENT DISCHARGE '!M141</f>
        <v>0</v>
      </c>
      <c r="X141" s="76"/>
      <c r="Y141" s="180"/>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O142+AUG!P142</f>
        <v>0</v>
      </c>
      <c r="Q142" s="60"/>
      <c r="R142" s="52"/>
      <c r="S142" s="66"/>
      <c r="T142" s="65"/>
      <c r="U142" s="68"/>
      <c r="V142" s="59"/>
      <c r="W142" s="6">
        <f>'CLIENT ENROLLMENT DISCHARGE '!M142</f>
        <v>0</v>
      </c>
      <c r="X142" s="76"/>
      <c r="Y142" s="180"/>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O143+AUG!P143</f>
        <v>0</v>
      </c>
      <c r="Q143" s="59"/>
      <c r="R143" s="51"/>
      <c r="S143" s="65"/>
      <c r="T143" s="64"/>
      <c r="U143" s="67"/>
      <c r="V143" s="74"/>
      <c r="W143" s="6">
        <f>'CLIENT ENROLLMENT DISCHARGE '!M143</f>
        <v>0</v>
      </c>
      <c r="X143" s="76"/>
      <c r="Y143" s="180"/>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O144+AUG!P144</f>
        <v>0</v>
      </c>
      <c r="Q144" s="60"/>
      <c r="R144" s="52"/>
      <c r="S144" s="66"/>
      <c r="T144" s="65"/>
      <c r="U144" s="68"/>
      <c r="V144" s="59"/>
      <c r="W144" s="6">
        <f>'CLIENT ENROLLMENT DISCHARGE '!M144</f>
        <v>0</v>
      </c>
      <c r="X144" s="76"/>
      <c r="Y144" s="180"/>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O145+AUG!P145</f>
        <v>0</v>
      </c>
      <c r="Q145" s="59"/>
      <c r="R145" s="51"/>
      <c r="S145" s="65"/>
      <c r="T145" s="64"/>
      <c r="U145" s="67"/>
      <c r="V145" s="74"/>
      <c r="W145" s="6">
        <f>'CLIENT ENROLLMENT DISCHARGE '!M145</f>
        <v>0</v>
      </c>
      <c r="X145" s="76"/>
      <c r="Y145" s="180"/>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O146+AUG!P146</f>
        <v>0</v>
      </c>
      <c r="Q146" s="60"/>
      <c r="R146" s="52"/>
      <c r="S146" s="66"/>
      <c r="T146" s="65"/>
      <c r="U146" s="68"/>
      <c r="V146" s="59"/>
      <c r="W146" s="6">
        <f>'CLIENT ENROLLMENT DISCHARGE '!M146</f>
        <v>0</v>
      </c>
      <c r="X146" s="76"/>
      <c r="Y146" s="180"/>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O147+AUG!P147</f>
        <v>0</v>
      </c>
      <c r="Q147" s="59"/>
      <c r="R147" s="51"/>
      <c r="S147" s="65"/>
      <c r="T147" s="64"/>
      <c r="U147" s="67"/>
      <c r="V147" s="74"/>
      <c r="W147" s="6">
        <f>'CLIENT ENROLLMENT DISCHARGE '!M147</f>
        <v>0</v>
      </c>
      <c r="X147" s="76"/>
      <c r="Y147" s="180"/>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O148+AUG!P148</f>
        <v>0</v>
      </c>
      <c r="Q148" s="60"/>
      <c r="R148" s="52"/>
      <c r="S148" s="66"/>
      <c r="T148" s="65"/>
      <c r="U148" s="68"/>
      <c r="V148" s="59"/>
      <c r="W148" s="6">
        <f>'CLIENT ENROLLMENT DISCHARGE '!M148</f>
        <v>0</v>
      </c>
      <c r="X148" s="76"/>
      <c r="Y148" s="180"/>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O149+AUG!P149</f>
        <v>0</v>
      </c>
      <c r="Q149" s="59"/>
      <c r="R149" s="51"/>
      <c r="S149" s="65"/>
      <c r="T149" s="64"/>
      <c r="U149" s="67"/>
      <c r="V149" s="74"/>
      <c r="W149" s="6">
        <f>'CLIENT ENROLLMENT DISCHARGE '!M149</f>
        <v>0</v>
      </c>
      <c r="X149" s="76"/>
      <c r="Y149" s="180"/>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O150+AUG!P150</f>
        <v>0</v>
      </c>
      <c r="Q150" s="60"/>
      <c r="R150" s="52"/>
      <c r="S150" s="66"/>
      <c r="T150" s="65"/>
      <c r="U150" s="68"/>
      <c r="V150" s="75"/>
      <c r="W150" s="6">
        <f>'CLIENT ENROLLMENT DISCHARGE '!M150</f>
        <v>0</v>
      </c>
      <c r="X150" s="76"/>
      <c r="Y150" s="180"/>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O151+AUG!P151</f>
        <v>0</v>
      </c>
      <c r="Q151" s="59"/>
      <c r="R151" s="51"/>
      <c r="S151" s="65"/>
      <c r="T151" s="64"/>
      <c r="U151" s="67"/>
      <c r="V151" s="74"/>
      <c r="W151" s="6">
        <f>'CLIENT ENROLLMENT DISCHARGE '!M151</f>
        <v>0</v>
      </c>
      <c r="X151" s="76"/>
      <c r="Y151" s="180"/>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O152+AUG!P152</f>
        <v>0</v>
      </c>
      <c r="Q152" s="60"/>
      <c r="R152" s="52"/>
      <c r="S152" s="66"/>
      <c r="T152" s="65"/>
      <c r="U152" s="68"/>
      <c r="V152" s="59"/>
      <c r="W152" s="6">
        <f>'CLIENT ENROLLMENT DISCHARGE '!M152</f>
        <v>0</v>
      </c>
      <c r="X152" s="76"/>
      <c r="Y152" s="180"/>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O153+AUG!P153</f>
        <v>0</v>
      </c>
      <c r="Q153" s="59"/>
      <c r="R153" s="51"/>
      <c r="S153" s="65"/>
      <c r="T153" s="64"/>
      <c r="U153" s="67"/>
      <c r="V153" s="74"/>
      <c r="W153" s="6">
        <f>'CLIENT ENROLLMENT DISCHARGE '!M153</f>
        <v>0</v>
      </c>
      <c r="X153" s="76"/>
      <c r="Y153" s="180"/>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O154+AUG!P154</f>
        <v>0</v>
      </c>
      <c r="Q154" s="60"/>
      <c r="R154" s="52"/>
      <c r="S154" s="66"/>
      <c r="T154" s="65"/>
      <c r="U154" s="68"/>
      <c r="V154" s="59"/>
      <c r="W154" s="6">
        <f>'CLIENT ENROLLMENT DISCHARGE '!M154</f>
        <v>0</v>
      </c>
      <c r="X154" s="76"/>
      <c r="Y154" s="180"/>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O155+AUG!P155</f>
        <v>0</v>
      </c>
      <c r="Q155" s="59"/>
      <c r="R155" s="51"/>
      <c r="S155" s="65"/>
      <c r="T155" s="64"/>
      <c r="U155" s="67"/>
      <c r="V155" s="74"/>
      <c r="W155" s="6">
        <f>'CLIENT ENROLLMENT DISCHARGE '!M155</f>
        <v>0</v>
      </c>
      <c r="X155" s="76"/>
      <c r="Y155" s="180"/>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O156+AUG!P156</f>
        <v>0</v>
      </c>
      <c r="Q156" s="60"/>
      <c r="R156" s="52"/>
      <c r="S156" s="66"/>
      <c r="T156" s="65"/>
      <c r="U156" s="68"/>
      <c r="V156" s="59"/>
      <c r="W156" s="6">
        <f>'CLIENT ENROLLMENT DISCHARGE '!M156</f>
        <v>0</v>
      </c>
      <c r="X156" s="76"/>
      <c r="Y156" s="180"/>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O157+AUG!P157</f>
        <v>0</v>
      </c>
      <c r="Q157" s="59"/>
      <c r="R157" s="51"/>
      <c r="S157" s="65"/>
      <c r="T157" s="64"/>
      <c r="U157" s="67"/>
      <c r="V157" s="74"/>
      <c r="W157" s="6">
        <f>'CLIENT ENROLLMENT DISCHARGE '!M157</f>
        <v>0</v>
      </c>
      <c r="X157" s="76"/>
      <c r="Y157" s="180"/>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O158+AUG!P158</f>
        <v>0</v>
      </c>
      <c r="Q158" s="60"/>
      <c r="R158" s="52"/>
      <c r="S158" s="66"/>
      <c r="T158" s="65"/>
      <c r="U158" s="68"/>
      <c r="V158" s="59"/>
      <c r="W158" s="6">
        <f>'CLIENT ENROLLMENT DISCHARGE '!M158</f>
        <v>0</v>
      </c>
      <c r="X158" s="76"/>
      <c r="Y158" s="180"/>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O159+AUG!P159</f>
        <v>0</v>
      </c>
      <c r="Q159" s="59"/>
      <c r="R159" s="51"/>
      <c r="S159" s="65"/>
      <c r="T159" s="64"/>
      <c r="U159" s="67"/>
      <c r="V159" s="74"/>
      <c r="W159" s="6">
        <f>'CLIENT ENROLLMENT DISCHARGE '!M159</f>
        <v>0</v>
      </c>
      <c r="X159" s="76"/>
      <c r="Y159" s="180"/>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O160+AUG!P160</f>
        <v>0</v>
      </c>
      <c r="Q160" s="60"/>
      <c r="R160" s="52"/>
      <c r="S160" s="66"/>
      <c r="T160" s="65"/>
      <c r="U160" s="68"/>
      <c r="V160" s="75"/>
      <c r="W160" s="6">
        <f>'CLIENT ENROLLMENT DISCHARGE '!M160</f>
        <v>0</v>
      </c>
      <c r="X160" s="76"/>
      <c r="Y160" s="180"/>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O161+AUG!P161</f>
        <v>0</v>
      </c>
      <c r="Q161" s="59"/>
      <c r="R161" s="51"/>
      <c r="S161" s="65"/>
      <c r="T161" s="64"/>
      <c r="U161" s="67"/>
      <c r="V161" s="74"/>
      <c r="W161" s="6">
        <f>'CLIENT ENROLLMENT DISCHARGE '!M161</f>
        <v>0</v>
      </c>
      <c r="X161" s="76"/>
      <c r="Y161" s="180"/>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O162+AUG!P162</f>
        <v>0</v>
      </c>
      <c r="Q162" s="60"/>
      <c r="R162" s="52"/>
      <c r="S162" s="66"/>
      <c r="T162" s="65"/>
      <c r="U162" s="68"/>
      <c r="V162" s="59"/>
      <c r="W162" s="6">
        <f>'CLIENT ENROLLMENT DISCHARGE '!M162</f>
        <v>0</v>
      </c>
      <c r="X162" s="76"/>
      <c r="Y162" s="180"/>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O163+AUG!P163</f>
        <v>0</v>
      </c>
      <c r="Q163" s="59"/>
      <c r="R163" s="51"/>
      <c r="S163" s="65"/>
      <c r="T163" s="64"/>
      <c r="U163" s="67"/>
      <c r="V163" s="74"/>
      <c r="W163" s="6">
        <f>'CLIENT ENROLLMENT DISCHARGE '!M163</f>
        <v>0</v>
      </c>
      <c r="X163" s="76"/>
      <c r="Y163" s="180"/>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O164+AUG!P164</f>
        <v>0</v>
      </c>
      <c r="Q164" s="60"/>
      <c r="R164" s="52"/>
      <c r="S164" s="66"/>
      <c r="T164" s="65"/>
      <c r="U164" s="68"/>
      <c r="V164" s="59"/>
      <c r="W164" s="6">
        <f>'CLIENT ENROLLMENT DISCHARGE '!M164</f>
        <v>0</v>
      </c>
      <c r="X164" s="76"/>
      <c r="Y164" s="180"/>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O165+AUG!P165</f>
        <v>0</v>
      </c>
      <c r="Q165" s="59"/>
      <c r="R165" s="51"/>
      <c r="S165" s="65"/>
      <c r="T165" s="64"/>
      <c r="U165" s="67"/>
      <c r="V165" s="74"/>
      <c r="W165" s="6">
        <f>'CLIENT ENROLLMENT DISCHARGE '!M165</f>
        <v>0</v>
      </c>
      <c r="X165" s="76"/>
      <c r="Y165" s="180"/>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O166+AUG!P166</f>
        <v>0</v>
      </c>
      <c r="Q166" s="60"/>
      <c r="R166" s="52"/>
      <c r="S166" s="66"/>
      <c r="T166" s="65"/>
      <c r="U166" s="68"/>
      <c r="V166" s="59"/>
      <c r="W166" s="6">
        <f>'CLIENT ENROLLMENT DISCHARGE '!M166</f>
        <v>0</v>
      </c>
      <c r="X166" s="76"/>
      <c r="Y166" s="180"/>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O167+AUG!P167</f>
        <v>0</v>
      </c>
      <c r="Q167" s="59"/>
      <c r="R167" s="51"/>
      <c r="S167" s="65"/>
      <c r="T167" s="64"/>
      <c r="U167" s="67"/>
      <c r="V167" s="74"/>
      <c r="W167" s="6">
        <f>'CLIENT ENROLLMENT DISCHARGE '!M167</f>
        <v>0</v>
      </c>
      <c r="X167" s="76"/>
      <c r="Y167" s="180"/>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O168+AUG!P168</f>
        <v>0</v>
      </c>
      <c r="Q168" s="60"/>
      <c r="R168" s="52"/>
      <c r="S168" s="66"/>
      <c r="T168" s="65"/>
      <c r="U168" s="68"/>
      <c r="V168" s="59"/>
      <c r="W168" s="6">
        <f>'CLIENT ENROLLMENT DISCHARGE '!M168</f>
        <v>0</v>
      </c>
      <c r="X168" s="76"/>
      <c r="Y168" s="180"/>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O169+AUG!P169</f>
        <v>0</v>
      </c>
      <c r="Q169" s="59"/>
      <c r="R169" s="51"/>
      <c r="S169" s="65"/>
      <c r="T169" s="64"/>
      <c r="U169" s="67"/>
      <c r="V169" s="74"/>
      <c r="W169" s="6">
        <f>'CLIENT ENROLLMENT DISCHARGE '!M169</f>
        <v>0</v>
      </c>
      <c r="X169" s="76"/>
      <c r="Y169" s="180"/>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O170+AUG!P170</f>
        <v>0</v>
      </c>
      <c r="Q170" s="60"/>
      <c r="R170" s="52"/>
      <c r="S170" s="66"/>
      <c r="T170" s="65"/>
      <c r="U170" s="68"/>
      <c r="V170" s="75"/>
      <c r="W170" s="6">
        <f>'CLIENT ENROLLMENT DISCHARGE '!M170</f>
        <v>0</v>
      </c>
      <c r="X170" s="76"/>
      <c r="Y170" s="180"/>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O171+AUG!P171</f>
        <v>0</v>
      </c>
      <c r="Q171" s="59"/>
      <c r="R171" s="51"/>
      <c r="S171" s="65"/>
      <c r="T171" s="64"/>
      <c r="U171" s="67"/>
      <c r="V171" s="74"/>
      <c r="W171" s="6">
        <f>'CLIENT ENROLLMENT DISCHARGE '!M171</f>
        <v>0</v>
      </c>
      <c r="X171" s="76"/>
      <c r="Y171" s="180"/>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O172+AUG!P172</f>
        <v>0</v>
      </c>
      <c r="Q172" s="60"/>
      <c r="R172" s="52"/>
      <c r="S172" s="66"/>
      <c r="T172" s="65"/>
      <c r="U172" s="68"/>
      <c r="V172" s="59"/>
      <c r="W172" s="6">
        <f>'CLIENT ENROLLMENT DISCHARGE '!M172</f>
        <v>0</v>
      </c>
      <c r="X172" s="76"/>
      <c r="Y172" s="180"/>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O173+AUG!P173</f>
        <v>0</v>
      </c>
      <c r="Q173" s="59"/>
      <c r="R173" s="51"/>
      <c r="S173" s="65"/>
      <c r="T173" s="64"/>
      <c r="U173" s="67"/>
      <c r="V173" s="74"/>
      <c r="W173" s="6">
        <f>'CLIENT ENROLLMENT DISCHARGE '!M173</f>
        <v>0</v>
      </c>
      <c r="X173" s="76"/>
      <c r="Y173" s="180"/>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O174+AUG!P174</f>
        <v>0</v>
      </c>
      <c r="Q174" s="60"/>
      <c r="R174" s="52"/>
      <c r="S174" s="66"/>
      <c r="T174" s="65"/>
      <c r="U174" s="68"/>
      <c r="V174" s="59"/>
      <c r="W174" s="6">
        <f>'CLIENT ENROLLMENT DISCHARGE '!M174</f>
        <v>0</v>
      </c>
      <c r="X174" s="76"/>
      <c r="Y174" s="180"/>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O175+AUG!P175</f>
        <v>0</v>
      </c>
      <c r="Q175" s="59"/>
      <c r="R175" s="51"/>
      <c r="S175" s="65"/>
      <c r="T175" s="64"/>
      <c r="U175" s="67"/>
      <c r="V175" s="74"/>
      <c r="W175" s="6">
        <f>'CLIENT ENROLLMENT DISCHARGE '!M175</f>
        <v>0</v>
      </c>
      <c r="X175" s="76"/>
      <c r="Y175" s="180"/>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O176+AUG!P176</f>
        <v>0</v>
      </c>
      <c r="Q176" s="60"/>
      <c r="R176" s="52"/>
      <c r="S176" s="66"/>
      <c r="T176" s="65"/>
      <c r="U176" s="68"/>
      <c r="V176" s="59"/>
      <c r="W176" s="6">
        <f>'CLIENT ENROLLMENT DISCHARGE '!M176</f>
        <v>0</v>
      </c>
      <c r="X176" s="76"/>
      <c r="Y176" s="180"/>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O177+AUG!P177</f>
        <v>0</v>
      </c>
      <c r="Q177" s="59"/>
      <c r="R177" s="51"/>
      <c r="S177" s="65"/>
      <c r="T177" s="64"/>
      <c r="U177" s="67"/>
      <c r="V177" s="74"/>
      <c r="W177" s="6">
        <f>'CLIENT ENROLLMENT DISCHARGE '!M177</f>
        <v>0</v>
      </c>
      <c r="X177" s="76"/>
      <c r="Y177" s="180"/>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O178+AUG!P178</f>
        <v>0</v>
      </c>
      <c r="Q178" s="60"/>
      <c r="R178" s="52"/>
      <c r="S178" s="66"/>
      <c r="T178" s="65"/>
      <c r="U178" s="68"/>
      <c r="V178" s="59"/>
      <c r="W178" s="6">
        <f>'CLIENT ENROLLMENT DISCHARGE '!M178</f>
        <v>0</v>
      </c>
      <c r="X178" s="76"/>
      <c r="Y178" s="180"/>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O179+AUG!P179</f>
        <v>0</v>
      </c>
      <c r="Q179" s="59"/>
      <c r="R179" s="51"/>
      <c r="S179" s="65"/>
      <c r="T179" s="64"/>
      <c r="U179" s="67"/>
      <c r="V179" s="74"/>
      <c r="W179" s="6">
        <f>'CLIENT ENROLLMENT DISCHARGE '!M179</f>
        <v>0</v>
      </c>
      <c r="X179" s="76"/>
      <c r="Y179" s="180"/>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O180+AUG!P180</f>
        <v>0</v>
      </c>
      <c r="Q180" s="60"/>
      <c r="R180" s="52"/>
      <c r="S180" s="66"/>
      <c r="T180" s="65"/>
      <c r="U180" s="68"/>
      <c r="V180" s="75"/>
      <c r="W180" s="6">
        <f>'CLIENT ENROLLMENT DISCHARGE '!M180</f>
        <v>0</v>
      </c>
      <c r="X180" s="76"/>
      <c r="Y180" s="180"/>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O181+AUG!P181</f>
        <v>0</v>
      </c>
      <c r="Q181" s="59"/>
      <c r="R181" s="51"/>
      <c r="S181" s="65"/>
      <c r="T181" s="64"/>
      <c r="U181" s="67"/>
      <c r="V181" s="74"/>
      <c r="W181" s="6">
        <f>'CLIENT ENROLLMENT DISCHARGE '!M181</f>
        <v>0</v>
      </c>
      <c r="X181" s="76"/>
      <c r="Y181" s="180"/>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O182+AUG!P182</f>
        <v>0</v>
      </c>
      <c r="Q182" s="60"/>
      <c r="R182" s="52"/>
      <c r="S182" s="66"/>
      <c r="T182" s="65"/>
      <c r="U182" s="68"/>
      <c r="V182" s="59"/>
      <c r="W182" s="6">
        <f>'CLIENT ENROLLMENT DISCHARGE '!M182</f>
        <v>0</v>
      </c>
      <c r="X182" s="76"/>
      <c r="Y182" s="180"/>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O183+AUG!P183</f>
        <v>0</v>
      </c>
      <c r="Q183" s="59"/>
      <c r="R183" s="51"/>
      <c r="S183" s="65"/>
      <c r="T183" s="64"/>
      <c r="U183" s="67"/>
      <c r="V183" s="74"/>
      <c r="W183" s="6">
        <f>'CLIENT ENROLLMENT DISCHARGE '!M183</f>
        <v>0</v>
      </c>
      <c r="X183" s="76"/>
      <c r="Y183" s="180"/>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O184+AUG!P184</f>
        <v>0</v>
      </c>
      <c r="Q184" s="60"/>
      <c r="R184" s="52"/>
      <c r="S184" s="66"/>
      <c r="T184" s="65"/>
      <c r="U184" s="68"/>
      <c r="V184" s="59"/>
      <c r="W184" s="6">
        <f>'CLIENT ENROLLMENT DISCHARGE '!M184</f>
        <v>0</v>
      </c>
      <c r="X184" s="76"/>
      <c r="Y184" s="180"/>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O185+AUG!P185</f>
        <v>0</v>
      </c>
      <c r="Q185" s="59"/>
      <c r="R185" s="51"/>
      <c r="S185" s="65"/>
      <c r="T185" s="64"/>
      <c r="U185" s="67"/>
      <c r="V185" s="74"/>
      <c r="W185" s="6">
        <f>'CLIENT ENROLLMENT DISCHARGE '!M185</f>
        <v>0</v>
      </c>
      <c r="X185" s="76"/>
      <c r="Y185" s="180"/>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O186+AUG!P186</f>
        <v>0</v>
      </c>
      <c r="Q186" s="60"/>
      <c r="R186" s="52"/>
      <c r="S186" s="66"/>
      <c r="T186" s="65"/>
      <c r="U186" s="68"/>
      <c r="V186" s="59"/>
      <c r="W186" s="6">
        <f>'CLIENT ENROLLMENT DISCHARGE '!M186</f>
        <v>0</v>
      </c>
      <c r="X186" s="76"/>
      <c r="Y186" s="180"/>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O187+AUG!P187</f>
        <v>0</v>
      </c>
      <c r="Q187" s="59"/>
      <c r="R187" s="51"/>
      <c r="S187" s="65"/>
      <c r="T187" s="64"/>
      <c r="U187" s="67"/>
      <c r="V187" s="74"/>
      <c r="W187" s="6">
        <f>'CLIENT ENROLLMENT DISCHARGE '!M187</f>
        <v>0</v>
      </c>
      <c r="X187" s="76"/>
      <c r="Y187" s="180"/>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O188+AUG!P188</f>
        <v>0</v>
      </c>
      <c r="Q188" s="60"/>
      <c r="R188" s="52"/>
      <c r="S188" s="66"/>
      <c r="T188" s="65"/>
      <c r="U188" s="68"/>
      <c r="V188" s="59"/>
      <c r="W188" s="6">
        <f>'CLIENT ENROLLMENT DISCHARGE '!M188</f>
        <v>0</v>
      </c>
      <c r="X188" s="76"/>
      <c r="Y188" s="180"/>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O189+AUG!P189</f>
        <v>0</v>
      </c>
      <c r="Q189" s="59"/>
      <c r="R189" s="51"/>
      <c r="S189" s="65"/>
      <c r="T189" s="64"/>
      <c r="U189" s="67"/>
      <c r="V189" s="74"/>
      <c r="W189" s="6">
        <f>'CLIENT ENROLLMENT DISCHARGE '!M189</f>
        <v>0</v>
      </c>
      <c r="X189" s="76"/>
      <c r="Y189" s="180"/>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O190+AUG!P190</f>
        <v>0</v>
      </c>
      <c r="Q190" s="60"/>
      <c r="R190" s="52"/>
      <c r="S190" s="66"/>
      <c r="T190" s="65"/>
      <c r="U190" s="68"/>
      <c r="V190" s="75"/>
      <c r="W190" s="6">
        <f>'CLIENT ENROLLMENT DISCHARGE '!M190</f>
        <v>0</v>
      </c>
      <c r="X190" s="76"/>
      <c r="Y190" s="180"/>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O191+AUG!P191</f>
        <v>0</v>
      </c>
      <c r="Q191" s="59"/>
      <c r="R191" s="51"/>
      <c r="S191" s="65"/>
      <c r="T191" s="64"/>
      <c r="U191" s="67"/>
      <c r="V191" s="74"/>
      <c r="W191" s="6">
        <f>'CLIENT ENROLLMENT DISCHARGE '!M191</f>
        <v>0</v>
      </c>
      <c r="X191" s="76"/>
      <c r="Y191" s="180"/>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O192+AUG!P192</f>
        <v>0</v>
      </c>
      <c r="Q192" s="60"/>
      <c r="R192" s="52"/>
      <c r="S192" s="66"/>
      <c r="T192" s="65"/>
      <c r="U192" s="68"/>
      <c r="V192" s="59"/>
      <c r="W192" s="6">
        <f>'CLIENT ENROLLMENT DISCHARGE '!M192</f>
        <v>0</v>
      </c>
      <c r="X192" s="76"/>
      <c r="Y192" s="180"/>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O193+AUG!P193</f>
        <v>0</v>
      </c>
      <c r="Q193" s="59"/>
      <c r="R193" s="51"/>
      <c r="S193" s="65"/>
      <c r="T193" s="64"/>
      <c r="U193" s="67"/>
      <c r="V193" s="74"/>
      <c r="W193" s="6">
        <f>'CLIENT ENROLLMENT DISCHARGE '!M193</f>
        <v>0</v>
      </c>
      <c r="X193" s="76"/>
      <c r="Y193" s="180"/>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O194+AUG!P194</f>
        <v>0</v>
      </c>
      <c r="Q194" s="60"/>
      <c r="R194" s="52"/>
      <c r="S194" s="66"/>
      <c r="T194" s="65"/>
      <c r="U194" s="68"/>
      <c r="V194" s="59"/>
      <c r="W194" s="6">
        <f>'CLIENT ENROLLMENT DISCHARGE '!M194</f>
        <v>0</v>
      </c>
      <c r="X194" s="76"/>
      <c r="Y194" s="180"/>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O195+AUG!P195</f>
        <v>0</v>
      </c>
      <c r="Q195" s="59"/>
      <c r="R195" s="51"/>
      <c r="S195" s="65"/>
      <c r="T195" s="64"/>
      <c r="U195" s="67"/>
      <c r="V195" s="74"/>
      <c r="W195" s="6">
        <f>'CLIENT ENROLLMENT DISCHARGE '!M195</f>
        <v>0</v>
      </c>
      <c r="X195" s="76"/>
      <c r="Y195" s="180"/>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O196+AUG!P196</f>
        <v>0</v>
      </c>
      <c r="Q196" s="60"/>
      <c r="R196" s="52"/>
      <c r="S196" s="66"/>
      <c r="T196" s="65"/>
      <c r="U196" s="68"/>
      <c r="V196" s="59"/>
      <c r="W196" s="6">
        <f>'CLIENT ENROLLMENT DISCHARGE '!M196</f>
        <v>0</v>
      </c>
      <c r="X196" s="76"/>
      <c r="Y196" s="180"/>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O197+AUG!P197</f>
        <v>0</v>
      </c>
      <c r="Q197" s="59"/>
      <c r="R197" s="51"/>
      <c r="S197" s="65"/>
      <c r="T197" s="64"/>
      <c r="U197" s="67"/>
      <c r="V197" s="74"/>
      <c r="W197" s="6">
        <f>'CLIENT ENROLLMENT DISCHARGE '!M197</f>
        <v>0</v>
      </c>
      <c r="X197" s="76"/>
      <c r="Y197" s="180"/>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O198+AUG!P198</f>
        <v>0</v>
      </c>
      <c r="Q198" s="60"/>
      <c r="R198" s="52"/>
      <c r="S198" s="66"/>
      <c r="T198" s="65"/>
      <c r="U198" s="68"/>
      <c r="V198" s="59"/>
      <c r="W198" s="6">
        <f>'CLIENT ENROLLMENT DISCHARGE '!M198</f>
        <v>0</v>
      </c>
      <c r="X198" s="76"/>
      <c r="Y198" s="180"/>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O199+AUG!P199</f>
        <v>0</v>
      </c>
      <c r="Q199" s="59"/>
      <c r="R199" s="51"/>
      <c r="S199" s="65"/>
      <c r="T199" s="64"/>
      <c r="U199" s="67"/>
      <c r="V199" s="74"/>
      <c r="W199" s="6">
        <f>'CLIENT ENROLLMENT DISCHARGE '!M199</f>
        <v>0</v>
      </c>
      <c r="X199" s="76"/>
      <c r="Y199" s="180"/>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O200+AUG!P200</f>
        <v>0</v>
      </c>
      <c r="Q200" s="60"/>
      <c r="R200" s="52"/>
      <c r="S200" s="66"/>
      <c r="T200" s="65"/>
      <c r="U200" s="68"/>
      <c r="V200" s="75"/>
      <c r="W200" s="6">
        <f>'CLIENT ENROLLMENT DISCHARGE '!M200</f>
        <v>0</v>
      </c>
      <c r="X200" s="76"/>
      <c r="Y200" s="180"/>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O201+AUG!P201</f>
        <v>0</v>
      </c>
      <c r="Q201" s="59"/>
      <c r="R201" s="51"/>
      <c r="S201" s="65"/>
      <c r="T201" s="64"/>
      <c r="U201" s="67"/>
      <c r="V201" s="74"/>
      <c r="W201" s="6">
        <f>'CLIENT ENROLLMENT DISCHARGE '!M201</f>
        <v>0</v>
      </c>
      <c r="X201" s="76"/>
      <c r="Y201" s="180"/>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O202+AUG!P202</f>
        <v>0</v>
      </c>
      <c r="Q202" s="60"/>
      <c r="R202" s="52"/>
      <c r="S202" s="66"/>
      <c r="T202" s="65"/>
      <c r="U202" s="68"/>
      <c r="V202" s="59"/>
      <c r="W202" s="6">
        <f>'CLIENT ENROLLMENT DISCHARGE '!M202</f>
        <v>0</v>
      </c>
      <c r="X202" s="76"/>
      <c r="Y202" s="180"/>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O203+AUG!P203</f>
        <v>0</v>
      </c>
      <c r="Q203" s="59"/>
      <c r="R203" s="51"/>
      <c r="S203" s="65"/>
      <c r="T203" s="64"/>
      <c r="U203" s="67"/>
      <c r="V203" s="74"/>
      <c r="W203" s="6">
        <f>'CLIENT ENROLLMENT DISCHARGE '!M203</f>
        <v>0</v>
      </c>
      <c r="X203" s="76"/>
      <c r="Y203" s="180"/>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O204+AUG!P204</f>
        <v>0</v>
      </c>
      <c r="Q204" s="60"/>
      <c r="R204" s="52"/>
      <c r="S204" s="66"/>
      <c r="T204" s="65"/>
      <c r="U204" s="68"/>
      <c r="V204" s="59"/>
      <c r="W204" s="6">
        <f>'CLIENT ENROLLMENT DISCHARGE '!M204</f>
        <v>0</v>
      </c>
      <c r="X204" s="76"/>
      <c r="Y204" s="180"/>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O205+AUG!P205</f>
        <v>0</v>
      </c>
      <c r="Q205" s="59"/>
      <c r="R205" s="51"/>
      <c r="S205" s="65"/>
      <c r="T205" s="64"/>
      <c r="U205" s="67"/>
      <c r="V205" s="74"/>
      <c r="W205" s="6">
        <f>'CLIENT ENROLLMENT DISCHARGE '!M205</f>
        <v>0</v>
      </c>
      <c r="X205" s="76"/>
      <c r="Y205" s="180"/>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O206+AUG!P206</f>
        <v>0</v>
      </c>
      <c r="Q206" s="60"/>
      <c r="R206" s="52"/>
      <c r="S206" s="66"/>
      <c r="T206" s="65"/>
      <c r="U206" s="68"/>
      <c r="V206" s="59"/>
      <c r="W206" s="6">
        <f>'CLIENT ENROLLMENT DISCHARGE '!M206</f>
        <v>0</v>
      </c>
      <c r="X206" s="76"/>
      <c r="Y206" s="180"/>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O207+AUG!P207</f>
        <v>0</v>
      </c>
      <c r="Q207" s="59"/>
      <c r="R207" s="51"/>
      <c r="S207" s="65"/>
      <c r="T207" s="64"/>
      <c r="U207" s="67"/>
      <c r="V207" s="74"/>
      <c r="W207" s="6">
        <f>'CLIENT ENROLLMENT DISCHARGE '!M207</f>
        <v>0</v>
      </c>
      <c r="X207" s="76"/>
      <c r="Y207" s="180"/>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O208+AUG!P208</f>
        <v>0</v>
      </c>
      <c r="Q208" s="60"/>
      <c r="R208" s="52"/>
      <c r="S208" s="66"/>
      <c r="T208" s="65"/>
      <c r="U208" s="68"/>
      <c r="V208" s="59"/>
      <c r="W208" s="6">
        <f>'CLIENT ENROLLMENT DISCHARGE '!M208</f>
        <v>0</v>
      </c>
      <c r="X208" s="76"/>
      <c r="Y208" s="180"/>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O209+AUG!P209</f>
        <v>0</v>
      </c>
      <c r="Q209" s="59"/>
      <c r="R209" s="51"/>
      <c r="S209" s="65"/>
      <c r="T209" s="64"/>
      <c r="U209" s="67"/>
      <c r="V209" s="74"/>
      <c r="W209" s="6">
        <f>'CLIENT ENROLLMENT DISCHARGE '!M209</f>
        <v>0</v>
      </c>
      <c r="X209" s="76"/>
      <c r="Y209" s="180"/>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O210+AUG!P210</f>
        <v>0</v>
      </c>
      <c r="Q210" s="60"/>
      <c r="R210" s="52"/>
      <c r="S210" s="66"/>
      <c r="T210" s="65"/>
      <c r="U210" s="68"/>
      <c r="V210" s="75"/>
      <c r="W210" s="6">
        <f>'CLIENT ENROLLMENT DISCHARGE '!M210</f>
        <v>0</v>
      </c>
      <c r="X210" s="76"/>
      <c r="Y210" s="180"/>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O211+AUG!P211</f>
        <v>0</v>
      </c>
      <c r="Q211" s="59"/>
      <c r="R211" s="51"/>
      <c r="S211" s="65"/>
      <c r="T211" s="64"/>
      <c r="U211" s="67"/>
      <c r="V211" s="74"/>
      <c r="W211" s="6">
        <f>'CLIENT ENROLLMENT DISCHARGE '!M211</f>
        <v>0</v>
      </c>
      <c r="X211" s="76"/>
      <c r="Y211" s="180"/>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O212+AUG!P212</f>
        <v>0</v>
      </c>
      <c r="Q212" s="60"/>
      <c r="R212" s="52"/>
      <c r="S212" s="66"/>
      <c r="T212" s="65"/>
      <c r="U212" s="68"/>
      <c r="V212" s="59"/>
      <c r="W212" s="6">
        <f>'CLIENT ENROLLMENT DISCHARGE '!M212</f>
        <v>0</v>
      </c>
      <c r="X212" s="76"/>
      <c r="Y212" s="180"/>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O213+AUG!P213</f>
        <v>0</v>
      </c>
      <c r="Q213" s="59"/>
      <c r="R213" s="51"/>
      <c r="S213" s="65"/>
      <c r="T213" s="64"/>
      <c r="U213" s="67"/>
      <c r="V213" s="74"/>
      <c r="W213" s="6">
        <f>'CLIENT ENROLLMENT DISCHARGE '!M213</f>
        <v>0</v>
      </c>
      <c r="X213" s="76"/>
      <c r="Y213" s="180"/>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O214+AUG!P214</f>
        <v>0</v>
      </c>
      <c r="Q214" s="60"/>
      <c r="R214" s="52"/>
      <c r="S214" s="66"/>
      <c r="T214" s="65"/>
      <c r="U214" s="68"/>
      <c r="V214" s="59"/>
      <c r="W214" s="6">
        <f>'CLIENT ENROLLMENT DISCHARGE '!M214</f>
        <v>0</v>
      </c>
      <c r="X214" s="76"/>
      <c r="Y214" s="180"/>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O215+AUG!P215</f>
        <v>0</v>
      </c>
      <c r="Q215" s="59"/>
      <c r="R215" s="51"/>
      <c r="S215" s="65"/>
      <c r="T215" s="64"/>
      <c r="U215" s="67"/>
      <c r="V215" s="74"/>
      <c r="W215" s="6">
        <f>'CLIENT ENROLLMENT DISCHARGE '!M215</f>
        <v>0</v>
      </c>
      <c r="X215" s="76"/>
      <c r="Y215" s="180"/>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O216+AUG!P216</f>
        <v>0</v>
      </c>
      <c r="Q216" s="60"/>
      <c r="R216" s="52"/>
      <c r="S216" s="66"/>
      <c r="T216" s="65"/>
      <c r="U216" s="68"/>
      <c r="V216" s="59"/>
      <c r="W216" s="6">
        <f>'CLIENT ENROLLMENT DISCHARGE '!M216</f>
        <v>0</v>
      </c>
      <c r="X216" s="76"/>
      <c r="Y216" s="180"/>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O217+AUG!P217</f>
        <v>0</v>
      </c>
      <c r="Q217" s="59"/>
      <c r="R217" s="51"/>
      <c r="S217" s="65"/>
      <c r="T217" s="64"/>
      <c r="U217" s="67"/>
      <c r="V217" s="74"/>
      <c r="W217" s="6">
        <f>'CLIENT ENROLLMENT DISCHARGE '!M217</f>
        <v>0</v>
      </c>
      <c r="X217" s="76"/>
      <c r="Y217" s="180"/>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O218+AUG!P218</f>
        <v>0</v>
      </c>
      <c r="Q218" s="60"/>
      <c r="R218" s="52"/>
      <c r="S218" s="66"/>
      <c r="T218" s="65"/>
      <c r="U218" s="68"/>
      <c r="V218" s="59"/>
      <c r="W218" s="6">
        <f>'CLIENT ENROLLMENT DISCHARGE '!M218</f>
        <v>0</v>
      </c>
      <c r="X218" s="76"/>
      <c r="Y218" s="180"/>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O219+AUG!P219</f>
        <v>0</v>
      </c>
      <c r="Q219" s="59"/>
      <c r="R219" s="51"/>
      <c r="S219" s="65"/>
      <c r="T219" s="64"/>
      <c r="U219" s="67"/>
      <c r="V219" s="74"/>
      <c r="W219" s="6">
        <f>'CLIENT ENROLLMENT DISCHARGE '!M219</f>
        <v>0</v>
      </c>
      <c r="X219" s="76"/>
      <c r="Y219" s="180"/>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O220+AUG!P220</f>
        <v>0</v>
      </c>
      <c r="Q220" s="60"/>
      <c r="R220" s="52"/>
      <c r="S220" s="66"/>
      <c r="T220" s="65"/>
      <c r="U220" s="68"/>
      <c r="V220" s="75"/>
      <c r="W220" s="6">
        <f>'CLIENT ENROLLMENT DISCHARGE '!M220</f>
        <v>0</v>
      </c>
      <c r="X220" s="76"/>
      <c r="Y220" s="180"/>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O221+AUG!P221</f>
        <v>0</v>
      </c>
      <c r="Q221" s="59"/>
      <c r="R221" s="51"/>
      <c r="S221" s="65"/>
      <c r="T221" s="64"/>
      <c r="U221" s="67"/>
      <c r="V221" s="74"/>
      <c r="W221" s="6">
        <f>'CLIENT ENROLLMENT DISCHARGE '!M221</f>
        <v>0</v>
      </c>
      <c r="X221" s="76"/>
      <c r="Y221" s="180"/>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O222+AUG!P222</f>
        <v>0</v>
      </c>
      <c r="Q222" s="60"/>
      <c r="R222" s="52"/>
      <c r="S222" s="66"/>
      <c r="T222" s="65"/>
      <c r="U222" s="68"/>
      <c r="V222" s="59"/>
      <c r="W222" s="6">
        <f>'CLIENT ENROLLMENT DISCHARGE '!M222</f>
        <v>0</v>
      </c>
      <c r="X222" s="76"/>
      <c r="Y222" s="180"/>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O223+AUG!P223</f>
        <v>0</v>
      </c>
      <c r="Q223" s="59"/>
      <c r="R223" s="51"/>
      <c r="S223" s="65"/>
      <c r="T223" s="64"/>
      <c r="U223" s="67"/>
      <c r="V223" s="74"/>
      <c r="W223" s="6">
        <f>'CLIENT ENROLLMENT DISCHARGE '!M223</f>
        <v>0</v>
      </c>
      <c r="X223" s="76"/>
      <c r="Y223" s="180"/>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O224+AUG!P224</f>
        <v>0</v>
      </c>
      <c r="Q224" s="60"/>
      <c r="R224" s="52"/>
      <c r="S224" s="66"/>
      <c r="T224" s="65"/>
      <c r="U224" s="68"/>
      <c r="V224" s="59"/>
      <c r="W224" s="6">
        <f>'CLIENT ENROLLMENT DISCHARGE '!M224</f>
        <v>0</v>
      </c>
      <c r="X224" s="76"/>
      <c r="Y224" s="180"/>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O225+AUG!P225</f>
        <v>0</v>
      </c>
      <c r="Q225" s="59"/>
      <c r="R225" s="51"/>
      <c r="S225" s="65"/>
      <c r="T225" s="64"/>
      <c r="U225" s="67"/>
      <c r="V225" s="74"/>
      <c r="W225" s="6">
        <f>'CLIENT ENROLLMENT DISCHARGE '!M225</f>
        <v>0</v>
      </c>
      <c r="X225" s="76"/>
      <c r="Y225" s="180"/>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O226+AUG!P226</f>
        <v>0</v>
      </c>
      <c r="Q226" s="60"/>
      <c r="R226" s="52"/>
      <c r="S226" s="66"/>
      <c r="T226" s="65"/>
      <c r="U226" s="68"/>
      <c r="V226" s="59"/>
      <c r="W226" s="6">
        <f>'CLIENT ENROLLMENT DISCHARGE '!M226</f>
        <v>0</v>
      </c>
      <c r="X226" s="76"/>
      <c r="Y226" s="180"/>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O227+AUG!P227</f>
        <v>0</v>
      </c>
      <c r="Q227" s="59"/>
      <c r="R227" s="51"/>
      <c r="S227" s="65"/>
      <c r="T227" s="64"/>
      <c r="U227" s="67"/>
      <c r="V227" s="74"/>
      <c r="W227" s="6">
        <f>'CLIENT ENROLLMENT DISCHARGE '!M227</f>
        <v>0</v>
      </c>
      <c r="X227" s="76"/>
      <c r="Y227" s="180"/>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O228+AUG!P228</f>
        <v>0</v>
      </c>
      <c r="Q228" s="60"/>
      <c r="R228" s="52"/>
      <c r="S228" s="66"/>
      <c r="T228" s="65"/>
      <c r="U228" s="68"/>
      <c r="V228" s="59"/>
      <c r="W228" s="6">
        <f>'CLIENT ENROLLMENT DISCHARGE '!M228</f>
        <v>0</v>
      </c>
      <c r="X228" s="76"/>
      <c r="Y228" s="180"/>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O229+AUG!P229</f>
        <v>0</v>
      </c>
      <c r="Q229" s="59"/>
      <c r="R229" s="51"/>
      <c r="S229" s="65"/>
      <c r="T229" s="64"/>
      <c r="U229" s="67"/>
      <c r="V229" s="74"/>
      <c r="W229" s="6">
        <f>'CLIENT ENROLLMENT DISCHARGE '!M229</f>
        <v>0</v>
      </c>
      <c r="X229" s="76"/>
      <c r="Y229" s="180"/>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O230+AUG!P230</f>
        <v>0</v>
      </c>
      <c r="Q230" s="60"/>
      <c r="R230" s="52"/>
      <c r="S230" s="66"/>
      <c r="T230" s="65"/>
      <c r="U230" s="68"/>
      <c r="V230" s="75"/>
      <c r="W230" s="6">
        <f>'CLIENT ENROLLMENT DISCHARGE '!M230</f>
        <v>0</v>
      </c>
      <c r="X230" s="76"/>
      <c r="Y230" s="180"/>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O231+AUG!P231</f>
        <v>0</v>
      </c>
      <c r="Q231" s="59"/>
      <c r="R231" s="51"/>
      <c r="S231" s="65"/>
      <c r="T231" s="64"/>
      <c r="U231" s="67"/>
      <c r="V231" s="74"/>
      <c r="W231" s="6">
        <f>'CLIENT ENROLLMENT DISCHARGE '!M231</f>
        <v>0</v>
      </c>
      <c r="X231" s="76"/>
      <c r="Y231" s="180"/>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O232+AUG!P232</f>
        <v>0</v>
      </c>
      <c r="Q232" s="60"/>
      <c r="R232" s="52"/>
      <c r="S232" s="66"/>
      <c r="T232" s="65"/>
      <c r="U232" s="68"/>
      <c r="V232" s="59"/>
      <c r="W232" s="6">
        <f>'CLIENT ENROLLMENT DISCHARGE '!M232</f>
        <v>0</v>
      </c>
      <c r="X232" s="76"/>
      <c r="Y232" s="180"/>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O233+AUG!P233</f>
        <v>0</v>
      </c>
      <c r="Q233" s="59"/>
      <c r="R233" s="51"/>
      <c r="S233" s="65"/>
      <c r="T233" s="64"/>
      <c r="U233" s="67"/>
      <c r="V233" s="74"/>
      <c r="W233" s="6">
        <f>'CLIENT ENROLLMENT DISCHARGE '!M233</f>
        <v>0</v>
      </c>
      <c r="X233" s="76"/>
      <c r="Y233" s="180"/>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O234+AUG!P234</f>
        <v>0</v>
      </c>
      <c r="Q234" s="60"/>
      <c r="R234" s="52"/>
      <c r="S234" s="66"/>
      <c r="T234" s="65"/>
      <c r="U234" s="68"/>
      <c r="V234" s="59"/>
      <c r="W234" s="6">
        <f>'CLIENT ENROLLMENT DISCHARGE '!M234</f>
        <v>0</v>
      </c>
      <c r="X234" s="76"/>
      <c r="Y234" s="180"/>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O235+AUG!P235</f>
        <v>0</v>
      </c>
      <c r="Q235" s="59"/>
      <c r="R235" s="51"/>
      <c r="S235" s="65"/>
      <c r="T235" s="64"/>
      <c r="U235" s="67"/>
      <c r="V235" s="74"/>
      <c r="W235" s="6">
        <f>'CLIENT ENROLLMENT DISCHARGE '!M235</f>
        <v>0</v>
      </c>
      <c r="X235" s="76"/>
      <c r="Y235" s="180"/>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O236+AUG!P236</f>
        <v>0</v>
      </c>
      <c r="Q236" s="60"/>
      <c r="R236" s="52"/>
      <c r="S236" s="66"/>
      <c r="T236" s="65"/>
      <c r="U236" s="68"/>
      <c r="V236" s="59"/>
      <c r="W236" s="6">
        <f>'CLIENT ENROLLMENT DISCHARGE '!M236</f>
        <v>0</v>
      </c>
      <c r="X236" s="76"/>
      <c r="Y236" s="180"/>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O237+AUG!P237</f>
        <v>0</v>
      </c>
      <c r="Q237" s="59"/>
      <c r="R237" s="51"/>
      <c r="S237" s="65"/>
      <c r="T237" s="64"/>
      <c r="U237" s="67"/>
      <c r="V237" s="74"/>
      <c r="W237" s="6">
        <f>'CLIENT ENROLLMENT DISCHARGE '!M237</f>
        <v>0</v>
      </c>
      <c r="X237" s="76"/>
      <c r="Y237" s="180"/>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O238+AUG!P238</f>
        <v>0</v>
      </c>
      <c r="Q238" s="60"/>
      <c r="R238" s="52"/>
      <c r="S238" s="66"/>
      <c r="T238" s="65"/>
      <c r="U238" s="68"/>
      <c r="V238" s="59"/>
      <c r="W238" s="6">
        <f>'CLIENT ENROLLMENT DISCHARGE '!M238</f>
        <v>0</v>
      </c>
      <c r="X238" s="76"/>
      <c r="Y238" s="180"/>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O239+AUG!P239</f>
        <v>0</v>
      </c>
      <c r="Q239" s="59"/>
      <c r="R239" s="51"/>
      <c r="S239" s="65"/>
      <c r="T239" s="64"/>
      <c r="U239" s="67"/>
      <c r="V239" s="74"/>
      <c r="W239" s="6">
        <f>'CLIENT ENROLLMENT DISCHARGE '!M239</f>
        <v>0</v>
      </c>
      <c r="X239" s="76"/>
      <c r="Y239" s="180"/>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O240+AUG!P240</f>
        <v>0</v>
      </c>
      <c r="Q240" s="60"/>
      <c r="R240" s="52"/>
      <c r="S240" s="66"/>
      <c r="T240" s="65"/>
      <c r="U240" s="68"/>
      <c r="V240" s="75"/>
      <c r="W240" s="6">
        <f>'CLIENT ENROLLMENT DISCHARGE '!M240</f>
        <v>0</v>
      </c>
      <c r="X240" s="76"/>
      <c r="Y240" s="180"/>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O241+AUG!P241</f>
        <v>0</v>
      </c>
      <c r="Q241" s="59"/>
      <c r="R241" s="51"/>
      <c r="S241" s="65"/>
      <c r="T241" s="64"/>
      <c r="U241" s="67"/>
      <c r="V241" s="74"/>
      <c r="W241" s="6">
        <f>'CLIENT ENROLLMENT DISCHARGE '!M241</f>
        <v>0</v>
      </c>
      <c r="X241" s="76"/>
      <c r="Y241" s="180"/>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O242+AUG!P242</f>
        <v>0</v>
      </c>
      <c r="Q242" s="60"/>
      <c r="R242" s="52"/>
      <c r="S242" s="66"/>
      <c r="T242" s="65"/>
      <c r="U242" s="68"/>
      <c r="V242" s="59"/>
      <c r="W242" s="6">
        <f>'CLIENT ENROLLMENT DISCHARGE '!M242</f>
        <v>0</v>
      </c>
      <c r="X242" s="76"/>
      <c r="Y242" s="180"/>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O243+AUG!P243</f>
        <v>0</v>
      </c>
      <c r="Q243" s="59"/>
      <c r="R243" s="51"/>
      <c r="S243" s="65"/>
      <c r="T243" s="64"/>
      <c r="U243" s="67"/>
      <c r="V243" s="74"/>
      <c r="W243" s="6">
        <f>'CLIENT ENROLLMENT DISCHARGE '!M243</f>
        <v>0</v>
      </c>
      <c r="X243" s="76"/>
      <c r="Y243" s="180"/>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O244+AUG!P244</f>
        <v>0</v>
      </c>
      <c r="Q244" s="60"/>
      <c r="R244" s="52"/>
      <c r="S244" s="66"/>
      <c r="T244" s="65"/>
      <c r="U244" s="68"/>
      <c r="V244" s="59"/>
      <c r="W244" s="6">
        <f>'CLIENT ENROLLMENT DISCHARGE '!M244</f>
        <v>0</v>
      </c>
      <c r="X244" s="76"/>
      <c r="Y244" s="180"/>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O245+AUG!P245</f>
        <v>0</v>
      </c>
      <c r="Q245" s="59"/>
      <c r="R245" s="51"/>
      <c r="S245" s="65"/>
      <c r="T245" s="64"/>
      <c r="U245" s="67"/>
      <c r="V245" s="74"/>
      <c r="W245" s="6">
        <f>'CLIENT ENROLLMENT DISCHARGE '!M245</f>
        <v>0</v>
      </c>
      <c r="X245" s="76"/>
      <c r="Y245" s="180"/>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O246+AUG!P246</f>
        <v>0</v>
      </c>
      <c r="Q246" s="60"/>
      <c r="R246" s="52"/>
      <c r="S246" s="66"/>
      <c r="T246" s="65"/>
      <c r="U246" s="68"/>
      <c r="V246" s="59"/>
      <c r="W246" s="6">
        <f>'CLIENT ENROLLMENT DISCHARGE '!M246</f>
        <v>0</v>
      </c>
      <c r="X246" s="76"/>
      <c r="Y246" s="180"/>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O247+AUG!P247</f>
        <v>0</v>
      </c>
      <c r="Q247" s="59"/>
      <c r="R247" s="51"/>
      <c r="S247" s="65"/>
      <c r="T247" s="64"/>
      <c r="U247" s="67"/>
      <c r="V247" s="74"/>
      <c r="W247" s="6">
        <f>'CLIENT ENROLLMENT DISCHARGE '!M247</f>
        <v>0</v>
      </c>
      <c r="X247" s="76"/>
      <c r="Y247" s="180"/>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O248+AUG!P248</f>
        <v>0</v>
      </c>
      <c r="Q248" s="60"/>
      <c r="R248" s="52"/>
      <c r="S248" s="66"/>
      <c r="T248" s="65"/>
      <c r="U248" s="68"/>
      <c r="V248" s="59"/>
      <c r="W248" s="6">
        <f>'CLIENT ENROLLMENT DISCHARGE '!M248</f>
        <v>0</v>
      </c>
      <c r="X248" s="76"/>
      <c r="Y248" s="180"/>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O249+AUG!P249</f>
        <v>0</v>
      </c>
      <c r="Q249" s="59"/>
      <c r="R249" s="51"/>
      <c r="S249" s="65"/>
      <c r="T249" s="64"/>
      <c r="U249" s="67"/>
      <c r="V249" s="74"/>
      <c r="W249" s="6">
        <f>'CLIENT ENROLLMENT DISCHARGE '!M249</f>
        <v>0</v>
      </c>
      <c r="X249" s="76"/>
      <c r="Y249" s="180"/>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O250+AUG!P250</f>
        <v>0</v>
      </c>
      <c r="Q250" s="60"/>
      <c r="R250" s="52"/>
      <c r="S250" s="66"/>
      <c r="T250" s="65"/>
      <c r="U250" s="68"/>
      <c r="V250" s="75"/>
      <c r="W250" s="6">
        <f>'CLIENT ENROLLMENT DISCHARGE '!M250</f>
        <v>0</v>
      </c>
      <c r="X250" s="76"/>
      <c r="Y250" s="180"/>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O251+AUG!P251</f>
        <v>0</v>
      </c>
      <c r="Q251" s="59"/>
      <c r="R251" s="51"/>
      <c r="S251" s="65"/>
      <c r="T251" s="64"/>
      <c r="U251" s="67"/>
      <c r="V251" s="74"/>
      <c r="W251" s="6">
        <f>'CLIENT ENROLLMENT DISCHARGE '!M251</f>
        <v>0</v>
      </c>
      <c r="X251" s="76"/>
      <c r="Y251" s="180"/>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O252+AUG!P252</f>
        <v>0</v>
      </c>
      <c r="Q252" s="60"/>
      <c r="R252" s="52"/>
      <c r="S252" s="66"/>
      <c r="T252" s="65"/>
      <c r="U252" s="68"/>
      <c r="V252" s="59"/>
      <c r="W252" s="6">
        <f>'CLIENT ENROLLMENT DISCHARGE '!M252</f>
        <v>0</v>
      </c>
      <c r="X252" s="76"/>
      <c r="Y252" s="180"/>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O253+AUG!P253</f>
        <v>0</v>
      </c>
      <c r="Q253" s="59"/>
      <c r="R253" s="51"/>
      <c r="S253" s="65"/>
      <c r="T253" s="64"/>
      <c r="U253" s="67"/>
      <c r="V253" s="74"/>
      <c r="W253" s="6">
        <f>'CLIENT ENROLLMENT DISCHARGE '!M253</f>
        <v>0</v>
      </c>
      <c r="X253" s="76"/>
      <c r="Y253" s="180"/>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O254+AUG!P254</f>
        <v>0</v>
      </c>
      <c r="Q254" s="60"/>
      <c r="R254" s="52"/>
      <c r="S254" s="66"/>
      <c r="T254" s="65"/>
      <c r="U254" s="68"/>
      <c r="V254" s="59"/>
      <c r="W254" s="6">
        <f>'CLIENT ENROLLMENT DISCHARGE '!M254</f>
        <v>0</v>
      </c>
      <c r="X254" s="76"/>
      <c r="Y254" s="180"/>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O255+AUG!P255</f>
        <v>0</v>
      </c>
      <c r="Q255" s="59"/>
      <c r="R255" s="51"/>
      <c r="S255" s="65"/>
      <c r="T255" s="64"/>
      <c r="U255" s="67"/>
      <c r="V255" s="74"/>
      <c r="W255" s="6">
        <f>'CLIENT ENROLLMENT DISCHARGE '!M255</f>
        <v>0</v>
      </c>
      <c r="X255" s="76"/>
      <c r="Y255" s="180"/>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O256+AUG!P256</f>
        <v>0</v>
      </c>
      <c r="Q256" s="60"/>
      <c r="R256" s="52"/>
      <c r="S256" s="66"/>
      <c r="T256" s="65"/>
      <c r="U256" s="68"/>
      <c r="V256" s="59"/>
      <c r="W256" s="6">
        <f>'CLIENT ENROLLMENT DISCHARGE '!M256</f>
        <v>0</v>
      </c>
      <c r="X256" s="76"/>
      <c r="Y256" s="180"/>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O257+AUG!P257</f>
        <v>0</v>
      </c>
      <c r="Q257" s="59"/>
      <c r="R257" s="51"/>
      <c r="S257" s="65"/>
      <c r="T257" s="64"/>
      <c r="U257" s="67"/>
      <c r="V257" s="74"/>
      <c r="W257" s="6">
        <f>'CLIENT ENROLLMENT DISCHARGE '!M257</f>
        <v>0</v>
      </c>
      <c r="X257" s="76"/>
      <c r="Y257" s="180"/>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O258+AUG!P258</f>
        <v>0</v>
      </c>
      <c r="Q258" s="60"/>
      <c r="R258" s="52"/>
      <c r="S258" s="66"/>
      <c r="T258" s="65"/>
      <c r="U258" s="68"/>
      <c r="V258" s="59"/>
      <c r="W258" s="6">
        <f>'CLIENT ENROLLMENT DISCHARGE '!M258</f>
        <v>0</v>
      </c>
      <c r="X258" s="76"/>
      <c r="Y258" s="180"/>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O259+AUG!P259</f>
        <v>0</v>
      </c>
      <c r="Q259" s="59"/>
      <c r="R259" s="51"/>
      <c r="S259" s="65"/>
      <c r="T259" s="64"/>
      <c r="U259" s="67"/>
      <c r="V259" s="74"/>
      <c r="W259" s="6">
        <f>'CLIENT ENROLLMENT DISCHARGE '!M259</f>
        <v>0</v>
      </c>
      <c r="X259" s="76"/>
      <c r="Y259" s="180"/>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O260+AUG!P260</f>
        <v>0</v>
      </c>
      <c r="Q260" s="60"/>
      <c r="R260" s="52"/>
      <c r="S260" s="66"/>
      <c r="T260" s="65"/>
      <c r="U260" s="68"/>
      <c r="V260" s="75"/>
      <c r="W260" s="6">
        <f>'CLIENT ENROLLMENT DISCHARGE '!M260</f>
        <v>0</v>
      </c>
      <c r="X260" s="76"/>
      <c r="Y260" s="180"/>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O261+AUG!P261</f>
        <v>0</v>
      </c>
      <c r="Q261" s="59"/>
      <c r="R261" s="51"/>
      <c r="S261" s="65"/>
      <c r="T261" s="64"/>
      <c r="U261" s="67"/>
      <c r="V261" s="74"/>
      <c r="W261" s="6">
        <f>'CLIENT ENROLLMENT DISCHARGE '!M261</f>
        <v>0</v>
      </c>
      <c r="X261" s="76"/>
      <c r="Y261" s="180"/>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O262+AUG!P262</f>
        <v>0</v>
      </c>
      <c r="Q262" s="60"/>
      <c r="R262" s="52"/>
      <c r="S262" s="66"/>
      <c r="T262" s="65"/>
      <c r="U262" s="68"/>
      <c r="V262" s="59"/>
      <c r="W262" s="6">
        <f>'CLIENT ENROLLMENT DISCHARGE '!M262</f>
        <v>0</v>
      </c>
      <c r="X262" s="76"/>
      <c r="Y262" s="180"/>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O263+AUG!P263</f>
        <v>0</v>
      </c>
      <c r="Q263" s="59"/>
      <c r="R263" s="51"/>
      <c r="S263" s="65"/>
      <c r="T263" s="64"/>
      <c r="U263" s="67"/>
      <c r="V263" s="74"/>
      <c r="W263" s="6">
        <f>'CLIENT ENROLLMENT DISCHARGE '!M263</f>
        <v>0</v>
      </c>
      <c r="X263" s="76"/>
      <c r="Y263" s="180"/>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O264+AUG!P264</f>
        <v>0</v>
      </c>
      <c r="Q264" s="60"/>
      <c r="R264" s="52"/>
      <c r="S264" s="66"/>
      <c r="T264" s="65"/>
      <c r="U264" s="68"/>
      <c r="V264" s="59"/>
      <c r="W264" s="6">
        <f>'CLIENT ENROLLMENT DISCHARGE '!M264</f>
        <v>0</v>
      </c>
      <c r="X264" s="76"/>
      <c r="Y264" s="180"/>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O265+AUG!P265</f>
        <v>0</v>
      </c>
      <c r="Q265" s="59"/>
      <c r="R265" s="51"/>
      <c r="S265" s="65"/>
      <c r="T265" s="64"/>
      <c r="U265" s="67"/>
      <c r="V265" s="74"/>
      <c r="W265" s="6">
        <f>'CLIENT ENROLLMENT DISCHARGE '!M265</f>
        <v>0</v>
      </c>
      <c r="X265" s="76"/>
      <c r="Y265" s="180"/>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O266+AUG!P266</f>
        <v>0</v>
      </c>
      <c r="Q266" s="60"/>
      <c r="R266" s="52"/>
      <c r="S266" s="66"/>
      <c r="T266" s="65"/>
      <c r="U266" s="68"/>
      <c r="V266" s="59"/>
      <c r="W266" s="6">
        <f>'CLIENT ENROLLMENT DISCHARGE '!M266</f>
        <v>0</v>
      </c>
      <c r="X266" s="76"/>
      <c r="Y266" s="180"/>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O267+AUG!P267</f>
        <v>0</v>
      </c>
      <c r="Q267" s="59"/>
      <c r="R267" s="51"/>
      <c r="S267" s="65"/>
      <c r="T267" s="64"/>
      <c r="U267" s="67"/>
      <c r="V267" s="74"/>
      <c r="W267" s="6">
        <f>'CLIENT ENROLLMENT DISCHARGE '!M267</f>
        <v>0</v>
      </c>
      <c r="X267" s="76"/>
      <c r="Y267" s="180"/>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O268+AUG!P268</f>
        <v>0</v>
      </c>
      <c r="Q268" s="60"/>
      <c r="R268" s="52"/>
      <c r="S268" s="66"/>
      <c r="T268" s="65"/>
      <c r="U268" s="68"/>
      <c r="V268" s="59"/>
      <c r="W268" s="6">
        <f>'CLIENT ENROLLMENT DISCHARGE '!M268</f>
        <v>0</v>
      </c>
      <c r="X268" s="76"/>
      <c r="Y268" s="180"/>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O269+AUG!P269</f>
        <v>0</v>
      </c>
      <c r="Q269" s="59"/>
      <c r="R269" s="51"/>
      <c r="S269" s="65"/>
      <c r="T269" s="64"/>
      <c r="U269" s="67"/>
      <c r="V269" s="74"/>
      <c r="W269" s="6">
        <f>'CLIENT ENROLLMENT DISCHARGE '!M269</f>
        <v>0</v>
      </c>
      <c r="X269" s="76"/>
      <c r="Y269" s="180"/>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O270+AUG!P270</f>
        <v>0</v>
      </c>
      <c r="Q270" s="60"/>
      <c r="R270" s="52"/>
      <c r="S270" s="66"/>
      <c r="T270" s="65"/>
      <c r="U270" s="68"/>
      <c r="V270" s="75"/>
      <c r="W270" s="6">
        <f>'CLIENT ENROLLMENT DISCHARGE '!M270</f>
        <v>0</v>
      </c>
      <c r="X270" s="76"/>
      <c r="Y270" s="180"/>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O271+AUG!P271</f>
        <v>0</v>
      </c>
      <c r="Q271" s="59"/>
      <c r="R271" s="51"/>
      <c r="S271" s="65"/>
      <c r="T271" s="64"/>
      <c r="U271" s="67"/>
      <c r="V271" s="74"/>
      <c r="W271" s="6">
        <f>'CLIENT ENROLLMENT DISCHARGE '!M271</f>
        <v>0</v>
      </c>
      <c r="X271" s="76"/>
      <c r="Y271" s="180"/>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O272+AUG!P272</f>
        <v>0</v>
      </c>
      <c r="Q272" s="60"/>
      <c r="R272" s="52"/>
      <c r="S272" s="66"/>
      <c r="T272" s="65"/>
      <c r="U272" s="68"/>
      <c r="V272" s="59"/>
      <c r="W272" s="6">
        <f>'CLIENT ENROLLMENT DISCHARGE '!M272</f>
        <v>0</v>
      </c>
      <c r="X272" s="76"/>
      <c r="Y272" s="180"/>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O273+AUG!P273</f>
        <v>0</v>
      </c>
      <c r="Q273" s="59"/>
      <c r="R273" s="51"/>
      <c r="S273" s="65"/>
      <c r="T273" s="64"/>
      <c r="U273" s="67"/>
      <c r="V273" s="74"/>
      <c r="W273" s="6">
        <f>'CLIENT ENROLLMENT DISCHARGE '!M273</f>
        <v>0</v>
      </c>
      <c r="X273" s="76"/>
      <c r="Y273" s="180"/>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O274+AUG!P274</f>
        <v>0</v>
      </c>
      <c r="Q274" s="60"/>
      <c r="R274" s="52"/>
      <c r="S274" s="66"/>
      <c r="T274" s="65"/>
      <c r="U274" s="68"/>
      <c r="V274" s="59"/>
      <c r="W274" s="6">
        <f>'CLIENT ENROLLMENT DISCHARGE '!M274</f>
        <v>0</v>
      </c>
      <c r="X274" s="76"/>
      <c r="Y274" s="180"/>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O275+AUG!P275</f>
        <v>0</v>
      </c>
      <c r="Q275" s="59"/>
      <c r="R275" s="51"/>
      <c r="S275" s="65"/>
      <c r="T275" s="64"/>
      <c r="U275" s="67"/>
      <c r="V275" s="74"/>
      <c r="W275" s="6">
        <f>'CLIENT ENROLLMENT DISCHARGE '!M275</f>
        <v>0</v>
      </c>
      <c r="X275" s="76"/>
      <c r="Y275" s="180"/>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O276+AUG!P276</f>
        <v>0</v>
      </c>
      <c r="Q276" s="60"/>
      <c r="R276" s="52"/>
      <c r="S276" s="66"/>
      <c r="T276" s="65"/>
      <c r="U276" s="68"/>
      <c r="V276" s="59"/>
      <c r="W276" s="6">
        <f>'CLIENT ENROLLMENT DISCHARGE '!M276</f>
        <v>0</v>
      </c>
      <c r="X276" s="76"/>
      <c r="Y276" s="180"/>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O277+AUG!P277</f>
        <v>0</v>
      </c>
      <c r="Q277" s="59"/>
      <c r="R277" s="51"/>
      <c r="S277" s="65"/>
      <c r="T277" s="64"/>
      <c r="U277" s="67"/>
      <c r="V277" s="74"/>
      <c r="W277" s="6">
        <f>'CLIENT ENROLLMENT DISCHARGE '!M277</f>
        <v>0</v>
      </c>
      <c r="X277" s="76"/>
      <c r="Y277" s="180"/>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O278+AUG!P278</f>
        <v>0</v>
      </c>
      <c r="Q278" s="60"/>
      <c r="R278" s="52"/>
      <c r="S278" s="66"/>
      <c r="T278" s="65"/>
      <c r="U278" s="68"/>
      <c r="V278" s="59"/>
      <c r="W278" s="6">
        <f>'CLIENT ENROLLMENT DISCHARGE '!M278</f>
        <v>0</v>
      </c>
      <c r="X278" s="76"/>
      <c r="Y278" s="180"/>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O279+AUG!P279</f>
        <v>0</v>
      </c>
      <c r="Q279" s="59"/>
      <c r="R279" s="51"/>
      <c r="S279" s="65"/>
      <c r="T279" s="64"/>
      <c r="U279" s="67"/>
      <c r="V279" s="74"/>
      <c r="W279" s="6">
        <f>'CLIENT ENROLLMENT DISCHARGE '!M279</f>
        <v>0</v>
      </c>
      <c r="X279" s="76"/>
      <c r="Y279" s="180"/>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O280+AUG!P280</f>
        <v>0</v>
      </c>
      <c r="Q280" s="60"/>
      <c r="R280" s="52"/>
      <c r="S280" s="66"/>
      <c r="T280" s="65"/>
      <c r="U280" s="68"/>
      <c r="V280" s="75"/>
      <c r="W280" s="6">
        <f>'CLIENT ENROLLMENT DISCHARGE '!M280</f>
        <v>0</v>
      </c>
      <c r="X280" s="76"/>
      <c r="Y280" s="180"/>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O281+AUG!P281</f>
        <v>0</v>
      </c>
      <c r="Q281" s="59"/>
      <c r="R281" s="51"/>
      <c r="S281" s="65"/>
      <c r="T281" s="64"/>
      <c r="U281" s="67"/>
      <c r="V281" s="74"/>
      <c r="W281" s="6">
        <f>'CLIENT ENROLLMENT DISCHARGE '!M281</f>
        <v>0</v>
      </c>
      <c r="X281" s="76"/>
      <c r="Y281" s="180"/>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O282+AUG!P282</f>
        <v>0</v>
      </c>
      <c r="Q282" s="60"/>
      <c r="R282" s="52"/>
      <c r="S282" s="66"/>
      <c r="T282" s="65"/>
      <c r="U282" s="68"/>
      <c r="V282" s="59"/>
      <c r="W282" s="6">
        <f>'CLIENT ENROLLMENT DISCHARGE '!M282</f>
        <v>0</v>
      </c>
      <c r="X282" s="76"/>
      <c r="Y282" s="180"/>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O283+AUG!P283</f>
        <v>0</v>
      </c>
      <c r="Q283" s="59"/>
      <c r="R283" s="51"/>
      <c r="S283" s="65"/>
      <c r="T283" s="64"/>
      <c r="U283" s="67"/>
      <c r="V283" s="74"/>
      <c r="W283" s="6">
        <f>'CLIENT ENROLLMENT DISCHARGE '!M283</f>
        <v>0</v>
      </c>
      <c r="X283" s="76"/>
      <c r="Y283" s="180"/>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O284+AUG!P284</f>
        <v>0</v>
      </c>
      <c r="Q284" s="60"/>
      <c r="R284" s="52"/>
      <c r="S284" s="66"/>
      <c r="T284" s="65"/>
      <c r="U284" s="68"/>
      <c r="V284" s="59"/>
      <c r="W284" s="6">
        <f>'CLIENT ENROLLMENT DISCHARGE '!M284</f>
        <v>0</v>
      </c>
      <c r="X284" s="76"/>
      <c r="Y284" s="180"/>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O285+AUG!P285</f>
        <v>0</v>
      </c>
      <c r="Q285" s="59"/>
      <c r="R285" s="51"/>
      <c r="S285" s="65"/>
      <c r="T285" s="64"/>
      <c r="U285" s="67"/>
      <c r="V285" s="74"/>
      <c r="W285" s="6">
        <f>'CLIENT ENROLLMENT DISCHARGE '!M285</f>
        <v>0</v>
      </c>
      <c r="X285" s="76"/>
      <c r="Y285" s="180"/>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O286+AUG!P286</f>
        <v>0</v>
      </c>
      <c r="Q286" s="60"/>
      <c r="R286" s="52"/>
      <c r="S286" s="66"/>
      <c r="T286" s="65"/>
      <c r="U286" s="68"/>
      <c r="V286" s="59"/>
      <c r="W286" s="6">
        <f>'CLIENT ENROLLMENT DISCHARGE '!M286</f>
        <v>0</v>
      </c>
      <c r="X286" s="76"/>
      <c r="Y286" s="180"/>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O287+AUG!P287</f>
        <v>0</v>
      </c>
      <c r="Q287" s="59"/>
      <c r="R287" s="51"/>
      <c r="S287" s="65"/>
      <c r="T287" s="64"/>
      <c r="U287" s="67"/>
      <c r="V287" s="74"/>
      <c r="W287" s="6">
        <f>'CLIENT ENROLLMENT DISCHARGE '!M287</f>
        <v>0</v>
      </c>
      <c r="X287" s="76"/>
      <c r="Y287" s="180"/>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O288+AUG!P288</f>
        <v>0</v>
      </c>
      <c r="Q288" s="60"/>
      <c r="R288" s="52"/>
      <c r="S288" s="66"/>
      <c r="T288" s="65"/>
      <c r="U288" s="68"/>
      <c r="V288" s="59"/>
      <c r="W288" s="6">
        <f>'CLIENT ENROLLMENT DISCHARGE '!M288</f>
        <v>0</v>
      </c>
      <c r="X288" s="76"/>
      <c r="Y288" s="180"/>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O289+AUG!P289</f>
        <v>0</v>
      </c>
      <c r="Q289" s="59"/>
      <c r="R289" s="51"/>
      <c r="S289" s="65"/>
      <c r="T289" s="64"/>
      <c r="U289" s="67"/>
      <c r="V289" s="74"/>
      <c r="W289" s="6">
        <f>'CLIENT ENROLLMENT DISCHARGE '!M289</f>
        <v>0</v>
      </c>
      <c r="X289" s="76"/>
      <c r="Y289" s="180"/>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O290+AUG!P290</f>
        <v>0</v>
      </c>
      <c r="Q290" s="60"/>
      <c r="R290" s="52"/>
      <c r="S290" s="66"/>
      <c r="T290" s="65"/>
      <c r="U290" s="68"/>
      <c r="V290" s="75"/>
      <c r="W290" s="6">
        <f>'CLIENT ENROLLMENT DISCHARGE '!M290</f>
        <v>0</v>
      </c>
      <c r="X290" s="76"/>
      <c r="Y290" s="180"/>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O291+AUG!P291</f>
        <v>0</v>
      </c>
      <c r="Q291" s="59"/>
      <c r="R291" s="51"/>
      <c r="S291" s="65"/>
      <c r="T291" s="64"/>
      <c r="U291" s="67"/>
      <c r="V291" s="74"/>
      <c r="W291" s="6">
        <f>'CLIENT ENROLLMENT DISCHARGE '!M291</f>
        <v>0</v>
      </c>
      <c r="X291" s="76"/>
      <c r="Y291" s="180"/>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O292+AUG!P292</f>
        <v>0</v>
      </c>
      <c r="Q292" s="60"/>
      <c r="R292" s="52"/>
      <c r="S292" s="66"/>
      <c r="T292" s="65"/>
      <c r="U292" s="68"/>
      <c r="V292" s="59"/>
      <c r="W292" s="6">
        <f>'CLIENT ENROLLMENT DISCHARGE '!M292</f>
        <v>0</v>
      </c>
      <c r="X292" s="76"/>
      <c r="Y292" s="180"/>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O293+AUG!P293</f>
        <v>0</v>
      </c>
      <c r="Q293" s="59"/>
      <c r="R293" s="51"/>
      <c r="S293" s="65"/>
      <c r="T293" s="64"/>
      <c r="U293" s="67"/>
      <c r="V293" s="74"/>
      <c r="W293" s="6">
        <f>'CLIENT ENROLLMENT DISCHARGE '!M293</f>
        <v>0</v>
      </c>
      <c r="X293" s="76"/>
      <c r="Y293" s="180"/>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O294+AUG!P294</f>
        <v>0</v>
      </c>
      <c r="Q294" s="60"/>
      <c r="R294" s="52"/>
      <c r="S294" s="66"/>
      <c r="T294" s="65"/>
      <c r="U294" s="68"/>
      <c r="V294" s="59"/>
      <c r="W294" s="6">
        <f>'CLIENT ENROLLMENT DISCHARGE '!M294</f>
        <v>0</v>
      </c>
      <c r="X294" s="76"/>
      <c r="Y294" s="180"/>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O295+AUG!P295</f>
        <v>0</v>
      </c>
      <c r="Q295" s="59"/>
      <c r="R295" s="51"/>
      <c r="S295" s="65"/>
      <c r="T295" s="64"/>
      <c r="U295" s="67"/>
      <c r="V295" s="74"/>
      <c r="W295" s="6">
        <f>'CLIENT ENROLLMENT DISCHARGE '!M295</f>
        <v>0</v>
      </c>
      <c r="X295" s="76"/>
      <c r="Y295" s="180"/>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O296+AUG!P296</f>
        <v>0</v>
      </c>
      <c r="Q296" s="60"/>
      <c r="R296" s="52"/>
      <c r="S296" s="66"/>
      <c r="T296" s="65"/>
      <c r="U296" s="68"/>
      <c r="V296" s="59"/>
      <c r="W296" s="6">
        <f>'CLIENT ENROLLMENT DISCHARGE '!M296</f>
        <v>0</v>
      </c>
      <c r="X296" s="76"/>
      <c r="Y296" s="180"/>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O297+AUG!P297</f>
        <v>0</v>
      </c>
      <c r="Q297" s="59"/>
      <c r="R297" s="51"/>
      <c r="S297" s="65"/>
      <c r="T297" s="64"/>
      <c r="U297" s="67"/>
      <c r="V297" s="74"/>
      <c r="W297" s="6">
        <f>'CLIENT ENROLLMENT DISCHARGE '!M297</f>
        <v>0</v>
      </c>
      <c r="X297" s="76"/>
      <c r="Y297" s="180"/>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O298+AUG!P298</f>
        <v>0</v>
      </c>
      <c r="Q298" s="60"/>
      <c r="R298" s="52"/>
      <c r="S298" s="66"/>
      <c r="T298" s="65"/>
      <c r="U298" s="68"/>
      <c r="V298" s="59"/>
      <c r="W298" s="6">
        <f>'CLIENT ENROLLMENT DISCHARGE '!M298</f>
        <v>0</v>
      </c>
      <c r="X298" s="76"/>
      <c r="Y298" s="180"/>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O299+AUG!P299</f>
        <v>0</v>
      </c>
      <c r="Q299" s="59"/>
      <c r="R299" s="51"/>
      <c r="S299" s="65"/>
      <c r="T299" s="64"/>
      <c r="U299" s="67"/>
      <c r="V299" s="74"/>
      <c r="W299" s="6">
        <f>'CLIENT ENROLLMENT DISCHARGE '!M299</f>
        <v>0</v>
      </c>
      <c r="X299" s="76"/>
      <c r="Y299" s="180"/>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O300+AUG!P300</f>
        <v>0</v>
      </c>
      <c r="Q300" s="60"/>
      <c r="R300" s="52"/>
      <c r="S300" s="66"/>
      <c r="T300" s="65"/>
      <c r="U300" s="68"/>
      <c r="V300" s="75"/>
      <c r="W300" s="6">
        <f>'CLIENT ENROLLMENT DISCHARGE '!M300</f>
        <v>0</v>
      </c>
      <c r="X300" s="76"/>
      <c r="Y300" s="180"/>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O301+AUG!P301</f>
        <v>0</v>
      </c>
      <c r="Q301" s="59"/>
      <c r="R301" s="51"/>
      <c r="S301" s="65"/>
      <c r="T301" s="64"/>
      <c r="U301" s="67"/>
      <c r="V301" s="74"/>
      <c r="W301" s="6">
        <f>'CLIENT ENROLLMENT DISCHARGE '!M301</f>
        <v>0</v>
      </c>
      <c r="X301" s="76"/>
      <c r="Y301" s="180"/>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O302+AUG!P302</f>
        <v>0</v>
      </c>
      <c r="Q302" s="60"/>
      <c r="R302" s="52"/>
      <c r="S302" s="66"/>
      <c r="T302" s="65"/>
      <c r="U302" s="68"/>
      <c r="V302" s="59"/>
      <c r="W302" s="6">
        <f>'CLIENT ENROLLMENT DISCHARGE '!M302</f>
        <v>0</v>
      </c>
      <c r="X302" s="76"/>
      <c r="Y302" s="180"/>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O303+AUG!P303</f>
        <v>0</v>
      </c>
      <c r="Q303" s="59"/>
      <c r="R303" s="51"/>
      <c r="S303" s="65"/>
      <c r="T303" s="64"/>
      <c r="U303" s="67"/>
      <c r="V303" s="74"/>
      <c r="W303" s="6">
        <f>'CLIENT ENROLLMENT DISCHARGE '!M303</f>
        <v>0</v>
      </c>
      <c r="X303" s="76"/>
      <c r="Y303" s="180"/>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O304+AUG!P304</f>
        <v>0</v>
      </c>
      <c r="Q304" s="60"/>
      <c r="R304" s="52"/>
      <c r="S304" s="66"/>
      <c r="T304" s="65"/>
      <c r="U304" s="68"/>
      <c r="V304" s="59"/>
      <c r="W304" s="6">
        <f>'CLIENT ENROLLMENT DISCHARGE '!M304</f>
        <v>0</v>
      </c>
      <c r="X304" s="76"/>
      <c r="Y304" s="180"/>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O305+AUG!P305</f>
        <v>0</v>
      </c>
      <c r="Q305" s="59"/>
      <c r="R305" s="51"/>
      <c r="S305" s="65"/>
      <c r="T305" s="64"/>
      <c r="U305" s="67"/>
      <c r="V305" s="74"/>
      <c r="W305" s="6">
        <f>'CLIENT ENROLLMENT DISCHARGE '!M305</f>
        <v>0</v>
      </c>
      <c r="X305" s="76"/>
      <c r="Y305" s="180"/>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O306+AUG!P306</f>
        <v>0</v>
      </c>
      <c r="Q306" s="60"/>
      <c r="R306" s="52"/>
      <c r="S306" s="66"/>
      <c r="T306" s="65"/>
      <c r="U306" s="68"/>
      <c r="V306" s="59"/>
      <c r="W306" s="6">
        <f>'CLIENT ENROLLMENT DISCHARGE '!M306</f>
        <v>0</v>
      </c>
      <c r="X306" s="76"/>
      <c r="Y306" s="180"/>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O307+AUG!P307</f>
        <v>0</v>
      </c>
      <c r="Q307" s="59"/>
      <c r="R307" s="51"/>
      <c r="S307" s="65"/>
      <c r="T307" s="64"/>
      <c r="U307" s="67"/>
      <c r="V307" s="74"/>
      <c r="W307" s="6">
        <f>'CLIENT ENROLLMENT DISCHARGE '!M307</f>
        <v>0</v>
      </c>
      <c r="X307" s="76"/>
      <c r="Y307" s="180"/>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O308+AUG!P308</f>
        <v>0</v>
      </c>
      <c r="Q308" s="60"/>
      <c r="R308" s="52"/>
      <c r="S308" s="66"/>
      <c r="T308" s="65"/>
      <c r="U308" s="68"/>
      <c r="V308" s="59"/>
      <c r="W308" s="6">
        <f>'CLIENT ENROLLMENT DISCHARGE '!M308</f>
        <v>0</v>
      </c>
      <c r="X308" s="76"/>
      <c r="Y308" s="180"/>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O309+AUG!P309</f>
        <v>0</v>
      </c>
      <c r="Q309" s="59"/>
      <c r="R309" s="51"/>
      <c r="S309" s="65"/>
      <c r="T309" s="64"/>
      <c r="U309" s="67"/>
      <c r="V309" s="74"/>
      <c r="W309" s="6">
        <f>'CLIENT ENROLLMENT DISCHARGE '!M309</f>
        <v>0</v>
      </c>
      <c r="X309" s="76"/>
      <c r="Y309" s="180"/>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O310+AUG!P310</f>
        <v>0</v>
      </c>
      <c r="Q310" s="60"/>
      <c r="R310" s="52"/>
      <c r="S310" s="66"/>
      <c r="T310" s="65"/>
      <c r="U310" s="68"/>
      <c r="V310" s="75"/>
      <c r="W310" s="6">
        <f>'CLIENT ENROLLMENT DISCHARGE '!M310</f>
        <v>0</v>
      </c>
      <c r="X310" s="76"/>
      <c r="Y310" s="180"/>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O311+AUG!P311</f>
        <v>0</v>
      </c>
      <c r="Q311" s="59"/>
      <c r="R311" s="51"/>
      <c r="S311" s="65"/>
      <c r="T311" s="64"/>
      <c r="U311" s="67"/>
      <c r="V311" s="74"/>
      <c r="W311" s="6">
        <f>'CLIENT ENROLLMENT DISCHARGE '!M311</f>
        <v>0</v>
      </c>
      <c r="X311" s="76"/>
      <c r="Y311" s="180"/>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O312+AUG!P312</f>
        <v>0</v>
      </c>
      <c r="Q312" s="60"/>
      <c r="R312" s="52"/>
      <c r="S312" s="66"/>
      <c r="T312" s="65"/>
      <c r="U312" s="68"/>
      <c r="V312" s="59"/>
      <c r="W312" s="6">
        <f>'CLIENT ENROLLMENT DISCHARGE '!M312</f>
        <v>0</v>
      </c>
      <c r="X312" s="76"/>
      <c r="Y312" s="180"/>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O313+AUG!P313</f>
        <v>0</v>
      </c>
      <c r="Q313" s="59"/>
      <c r="R313" s="51"/>
      <c r="S313" s="65"/>
      <c r="T313" s="64"/>
      <c r="U313" s="67"/>
      <c r="V313" s="74"/>
      <c r="W313" s="6">
        <f>'CLIENT ENROLLMENT DISCHARGE '!M313</f>
        <v>0</v>
      </c>
      <c r="X313" s="76"/>
      <c r="Y313" s="180"/>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O314+AUG!P314</f>
        <v>0</v>
      </c>
      <c r="Q314" s="60"/>
      <c r="R314" s="52"/>
      <c r="S314" s="66"/>
      <c r="T314" s="65"/>
      <c r="U314" s="68"/>
      <c r="V314" s="59"/>
      <c r="W314" s="6">
        <f>'CLIENT ENROLLMENT DISCHARGE '!M314</f>
        <v>0</v>
      </c>
      <c r="X314" s="76"/>
      <c r="Y314" s="180"/>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O315+AUG!P315</f>
        <v>0</v>
      </c>
      <c r="Q315" s="59"/>
      <c r="R315" s="51"/>
      <c r="S315" s="65"/>
      <c r="T315" s="64"/>
      <c r="U315" s="67"/>
      <c r="V315" s="74"/>
      <c r="W315" s="6">
        <f>'CLIENT ENROLLMENT DISCHARGE '!M315</f>
        <v>0</v>
      </c>
      <c r="X315" s="76"/>
      <c r="Y315" s="180"/>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O316+AUG!P316</f>
        <v>0</v>
      </c>
      <c r="Q316" s="60"/>
      <c r="R316" s="52"/>
      <c r="S316" s="66"/>
      <c r="T316" s="65"/>
      <c r="U316" s="68"/>
      <c r="V316" s="59"/>
      <c r="W316" s="6">
        <f>'CLIENT ENROLLMENT DISCHARGE '!M316</f>
        <v>0</v>
      </c>
      <c r="X316" s="76"/>
      <c r="Y316" s="180"/>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O317+AUG!P317</f>
        <v>0</v>
      </c>
      <c r="Q317" s="59"/>
      <c r="R317" s="51"/>
      <c r="S317" s="65"/>
      <c r="T317" s="64"/>
      <c r="U317" s="67"/>
      <c r="V317" s="74"/>
      <c r="W317" s="6">
        <f>'CLIENT ENROLLMENT DISCHARGE '!M317</f>
        <v>0</v>
      </c>
      <c r="X317" s="76"/>
      <c r="Y317" s="180"/>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O318+AUG!P318</f>
        <v>0</v>
      </c>
      <c r="Q318" s="60"/>
      <c r="R318" s="52"/>
      <c r="S318" s="66"/>
      <c r="T318" s="65"/>
      <c r="U318" s="68"/>
      <c r="V318" s="59"/>
      <c r="W318" s="6">
        <f>'CLIENT ENROLLMENT DISCHARGE '!M318</f>
        <v>0</v>
      </c>
      <c r="X318" s="76"/>
      <c r="Y318" s="180"/>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O319+AUG!P319</f>
        <v>0</v>
      </c>
      <c r="Q319" s="59"/>
      <c r="R319" s="51"/>
      <c r="S319" s="65"/>
      <c r="T319" s="64"/>
      <c r="U319" s="67"/>
      <c r="V319" s="74"/>
      <c r="W319" s="6">
        <f>'CLIENT ENROLLMENT DISCHARGE '!M319</f>
        <v>0</v>
      </c>
      <c r="X319" s="76"/>
      <c r="Y319" s="180"/>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O320+AUG!P320</f>
        <v>0</v>
      </c>
      <c r="Q320" s="60"/>
      <c r="R320" s="52"/>
      <c r="S320" s="66"/>
      <c r="T320" s="65"/>
      <c r="U320" s="68"/>
      <c r="V320" s="75"/>
      <c r="W320" s="6">
        <f>'CLIENT ENROLLMENT DISCHARGE '!M320</f>
        <v>0</v>
      </c>
      <c r="X320" s="76"/>
      <c r="Y320" s="180"/>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O321+AUG!P321</f>
        <v>0</v>
      </c>
      <c r="Q321" s="59"/>
      <c r="R321" s="51"/>
      <c r="S321" s="65"/>
      <c r="T321" s="64"/>
      <c r="U321" s="67"/>
      <c r="V321" s="74"/>
      <c r="W321" s="6">
        <f>'CLIENT ENROLLMENT DISCHARGE '!M321</f>
        <v>0</v>
      </c>
      <c r="X321" s="76"/>
      <c r="Y321" s="180"/>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O322+AUG!P322</f>
        <v>0</v>
      </c>
      <c r="Q322" s="60"/>
      <c r="R322" s="52"/>
      <c r="S322" s="66"/>
      <c r="T322" s="65"/>
      <c r="U322" s="68"/>
      <c r="V322" s="59"/>
      <c r="W322" s="6">
        <f>'CLIENT ENROLLMENT DISCHARGE '!M322</f>
        <v>0</v>
      </c>
      <c r="X322" s="76"/>
      <c r="Y322" s="180"/>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O323+AUG!P323</f>
        <v>0</v>
      </c>
      <c r="Q323" s="59"/>
      <c r="R323" s="51"/>
      <c r="S323" s="65"/>
      <c r="T323" s="64"/>
      <c r="U323" s="67"/>
      <c r="V323" s="74"/>
      <c r="W323" s="6">
        <f>'CLIENT ENROLLMENT DISCHARGE '!M323</f>
        <v>0</v>
      </c>
      <c r="X323" s="76"/>
      <c r="Y323" s="180"/>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O324+AUG!P324</f>
        <v>0</v>
      </c>
      <c r="Q324" s="60"/>
      <c r="R324" s="52"/>
      <c r="S324" s="66"/>
      <c r="T324" s="65"/>
      <c r="U324" s="68"/>
      <c r="V324" s="59"/>
      <c r="W324" s="6">
        <f>'CLIENT ENROLLMENT DISCHARGE '!M324</f>
        <v>0</v>
      </c>
      <c r="X324" s="76"/>
      <c r="Y324" s="180"/>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O325+AUG!P325</f>
        <v>0</v>
      </c>
      <c r="Q325" s="59"/>
      <c r="R325" s="51"/>
      <c r="S325" s="65"/>
      <c r="T325" s="64"/>
      <c r="U325" s="67"/>
      <c r="V325" s="74"/>
      <c r="W325" s="6">
        <f>'CLIENT ENROLLMENT DISCHARGE '!M325</f>
        <v>0</v>
      </c>
      <c r="X325" s="76"/>
      <c r="Y325" s="180"/>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O326+AUG!P326</f>
        <v>0</v>
      </c>
      <c r="Q326" s="60"/>
      <c r="R326" s="52"/>
      <c r="S326" s="66"/>
      <c r="T326" s="65"/>
      <c r="U326" s="68"/>
      <c r="V326" s="59"/>
      <c r="W326" s="6">
        <f>'CLIENT ENROLLMENT DISCHARGE '!M326</f>
        <v>0</v>
      </c>
      <c r="X326" s="76"/>
      <c r="Y326" s="180"/>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O327+AUG!P327</f>
        <v>0</v>
      </c>
      <c r="Q327" s="59"/>
      <c r="R327" s="51"/>
      <c r="S327" s="65"/>
      <c r="T327" s="64"/>
      <c r="U327" s="67"/>
      <c r="V327" s="74"/>
      <c r="W327" s="6">
        <f>'CLIENT ENROLLMENT DISCHARGE '!M327</f>
        <v>0</v>
      </c>
      <c r="X327" s="76"/>
      <c r="Y327" s="180"/>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O328+AUG!P328</f>
        <v>0</v>
      </c>
      <c r="Q328" s="60"/>
      <c r="R328" s="52"/>
      <c r="S328" s="66"/>
      <c r="T328" s="65"/>
      <c r="U328" s="68"/>
      <c r="V328" s="59"/>
      <c r="W328" s="6">
        <f>'CLIENT ENROLLMENT DISCHARGE '!M328</f>
        <v>0</v>
      </c>
      <c r="X328" s="76"/>
      <c r="Y328" s="180"/>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O329+AUG!P329</f>
        <v>0</v>
      </c>
      <c r="Q329" s="59"/>
      <c r="R329" s="51"/>
      <c r="S329" s="65"/>
      <c r="T329" s="64"/>
      <c r="U329" s="67"/>
      <c r="V329" s="74"/>
      <c r="W329" s="6">
        <f>'CLIENT ENROLLMENT DISCHARGE '!M329</f>
        <v>0</v>
      </c>
      <c r="X329" s="76"/>
      <c r="Y329" s="180"/>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O330+AUG!P330</f>
        <v>0</v>
      </c>
      <c r="Q330" s="60"/>
      <c r="R330" s="52"/>
      <c r="S330" s="66"/>
      <c r="T330" s="65"/>
      <c r="U330" s="68"/>
      <c r="V330" s="75"/>
      <c r="W330" s="6">
        <f>'CLIENT ENROLLMENT DISCHARGE '!M330</f>
        <v>0</v>
      </c>
      <c r="X330" s="76"/>
      <c r="Y330" s="180"/>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O331+AUG!P331</f>
        <v>0</v>
      </c>
      <c r="Q331" s="59"/>
      <c r="R331" s="51"/>
      <c r="S331" s="65"/>
      <c r="T331" s="64"/>
      <c r="U331" s="67"/>
      <c r="V331" s="74"/>
      <c r="W331" s="6">
        <f>'CLIENT ENROLLMENT DISCHARGE '!M331</f>
        <v>0</v>
      </c>
      <c r="X331" s="76"/>
      <c r="Y331" s="180"/>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O332+AUG!P332</f>
        <v>0</v>
      </c>
      <c r="Q332" s="60"/>
      <c r="R332" s="52"/>
      <c r="S332" s="66"/>
      <c r="T332" s="65"/>
      <c r="U332" s="68"/>
      <c r="V332" s="59"/>
      <c r="W332" s="6">
        <f>'CLIENT ENROLLMENT DISCHARGE '!M332</f>
        <v>0</v>
      </c>
      <c r="X332" s="76"/>
      <c r="Y332" s="180"/>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O333+AUG!P333</f>
        <v>0</v>
      </c>
      <c r="Q333" s="59"/>
      <c r="R333" s="51"/>
      <c r="S333" s="65"/>
      <c r="T333" s="64"/>
      <c r="U333" s="67"/>
      <c r="V333" s="74"/>
      <c r="W333" s="6">
        <f>'CLIENT ENROLLMENT DISCHARGE '!M333</f>
        <v>0</v>
      </c>
      <c r="X333" s="76"/>
      <c r="Y333" s="180"/>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O334+AUG!P334</f>
        <v>0</v>
      </c>
      <c r="Q334" s="60"/>
      <c r="R334" s="52"/>
      <c r="S334" s="66"/>
      <c r="T334" s="65"/>
      <c r="U334" s="68"/>
      <c r="V334" s="59"/>
      <c r="W334" s="6">
        <f>'CLIENT ENROLLMENT DISCHARGE '!M334</f>
        <v>0</v>
      </c>
      <c r="X334" s="76"/>
      <c r="Y334" s="180"/>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O335+AUG!P335</f>
        <v>0</v>
      </c>
      <c r="Q335" s="59"/>
      <c r="R335" s="51"/>
      <c r="S335" s="65"/>
      <c r="T335" s="64"/>
      <c r="U335" s="67"/>
      <c r="V335" s="74"/>
      <c r="W335" s="6">
        <f>'CLIENT ENROLLMENT DISCHARGE '!M335</f>
        <v>0</v>
      </c>
      <c r="X335" s="76"/>
      <c r="Y335" s="180"/>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O336+AUG!P336</f>
        <v>0</v>
      </c>
      <c r="Q336" s="60"/>
      <c r="R336" s="52"/>
      <c r="S336" s="66"/>
      <c r="T336" s="65"/>
      <c r="U336" s="68"/>
      <c r="V336" s="59"/>
      <c r="W336" s="6">
        <f>'CLIENT ENROLLMENT DISCHARGE '!M336</f>
        <v>0</v>
      </c>
      <c r="X336" s="76"/>
      <c r="Y336" s="180"/>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O337+AUG!P337</f>
        <v>0</v>
      </c>
      <c r="Q337" s="59"/>
      <c r="R337" s="51"/>
      <c r="S337" s="65"/>
      <c r="T337" s="64"/>
      <c r="U337" s="67"/>
      <c r="V337" s="74"/>
      <c r="W337" s="6">
        <f>'CLIENT ENROLLMENT DISCHARGE '!M337</f>
        <v>0</v>
      </c>
      <c r="X337" s="76"/>
      <c r="Y337" s="180"/>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O338+AUG!P338</f>
        <v>0</v>
      </c>
      <c r="Q338" s="60"/>
      <c r="R338" s="52"/>
      <c r="S338" s="66"/>
      <c r="T338" s="65"/>
      <c r="U338" s="68"/>
      <c r="V338" s="59"/>
      <c r="W338" s="6">
        <f>'CLIENT ENROLLMENT DISCHARGE '!M338</f>
        <v>0</v>
      </c>
      <c r="X338" s="76"/>
      <c r="Y338" s="180"/>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O339+AUG!P339</f>
        <v>0</v>
      </c>
      <c r="Q339" s="59"/>
      <c r="R339" s="51"/>
      <c r="S339" s="65"/>
      <c r="T339" s="64"/>
      <c r="U339" s="67"/>
      <c r="V339" s="74"/>
      <c r="W339" s="6">
        <f>'CLIENT ENROLLMENT DISCHARGE '!M339</f>
        <v>0</v>
      </c>
      <c r="X339" s="76"/>
      <c r="Y339" s="180"/>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O340+AUG!P340</f>
        <v>0</v>
      </c>
      <c r="Q340" s="60"/>
      <c r="R340" s="52"/>
      <c r="S340" s="66"/>
      <c r="T340" s="65"/>
      <c r="U340" s="68"/>
      <c r="V340" s="75"/>
      <c r="W340" s="6">
        <f>'CLIENT ENROLLMENT DISCHARGE '!M340</f>
        <v>0</v>
      </c>
      <c r="X340" s="76"/>
      <c r="Y340" s="180"/>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O341+AUG!P341</f>
        <v>0</v>
      </c>
      <c r="Q341" s="59"/>
      <c r="R341" s="51"/>
      <c r="S341" s="65"/>
      <c r="T341" s="64"/>
      <c r="U341" s="67"/>
      <c r="V341" s="74"/>
      <c r="W341" s="6">
        <f>'CLIENT ENROLLMENT DISCHARGE '!M341</f>
        <v>0</v>
      </c>
      <c r="X341" s="76"/>
      <c r="Y341" s="180"/>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O342+AUG!P342</f>
        <v>0</v>
      </c>
      <c r="Q342" s="60"/>
      <c r="R342" s="52"/>
      <c r="S342" s="66"/>
      <c r="T342" s="65"/>
      <c r="U342" s="68"/>
      <c r="V342" s="59"/>
      <c r="W342" s="6">
        <f>'CLIENT ENROLLMENT DISCHARGE '!M342</f>
        <v>0</v>
      </c>
      <c r="X342" s="76"/>
      <c r="Y342" s="180"/>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O343+AUG!P343</f>
        <v>0</v>
      </c>
      <c r="Q343" s="59"/>
      <c r="R343" s="51"/>
      <c r="S343" s="65"/>
      <c r="T343" s="64"/>
      <c r="U343" s="67"/>
      <c r="V343" s="74"/>
      <c r="W343" s="6">
        <f>'CLIENT ENROLLMENT DISCHARGE '!M343</f>
        <v>0</v>
      </c>
      <c r="X343" s="76"/>
      <c r="Y343" s="180"/>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O344+AUG!P344</f>
        <v>0</v>
      </c>
      <c r="Q344" s="60"/>
      <c r="R344" s="52"/>
      <c r="S344" s="66"/>
      <c r="T344" s="65"/>
      <c r="U344" s="68"/>
      <c r="V344" s="59"/>
      <c r="W344" s="6">
        <f>'CLIENT ENROLLMENT DISCHARGE '!M344</f>
        <v>0</v>
      </c>
      <c r="X344" s="76"/>
      <c r="Y344" s="180"/>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O345+AUG!P345</f>
        <v>0</v>
      </c>
      <c r="Q345" s="59"/>
      <c r="R345" s="51"/>
      <c r="S345" s="65"/>
      <c r="T345" s="64"/>
      <c r="U345" s="67"/>
      <c r="V345" s="74"/>
      <c r="W345" s="6">
        <f>'CLIENT ENROLLMENT DISCHARGE '!M345</f>
        <v>0</v>
      </c>
      <c r="X345" s="76"/>
      <c r="Y345" s="180"/>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O346+AUG!P346</f>
        <v>0</v>
      </c>
      <c r="Q346" s="60"/>
      <c r="R346" s="52"/>
      <c r="S346" s="66"/>
      <c r="T346" s="65"/>
      <c r="U346" s="68"/>
      <c r="V346" s="59"/>
      <c r="W346" s="6">
        <f>'CLIENT ENROLLMENT DISCHARGE '!M346</f>
        <v>0</v>
      </c>
      <c r="X346" s="76"/>
      <c r="Y346" s="180"/>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O347+AUG!P347</f>
        <v>0</v>
      </c>
      <c r="Q347" s="59"/>
      <c r="R347" s="51"/>
      <c r="S347" s="65"/>
      <c r="T347" s="64"/>
      <c r="U347" s="67"/>
      <c r="V347" s="74"/>
      <c r="W347" s="6">
        <f>'CLIENT ENROLLMENT DISCHARGE '!M347</f>
        <v>0</v>
      </c>
      <c r="X347" s="76"/>
      <c r="Y347" s="180"/>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O348+AUG!P348</f>
        <v>0</v>
      </c>
      <c r="Q348" s="60"/>
      <c r="R348" s="52"/>
      <c r="S348" s="66"/>
      <c r="T348" s="65"/>
      <c r="U348" s="68"/>
      <c r="V348" s="59"/>
      <c r="W348" s="6">
        <f>'CLIENT ENROLLMENT DISCHARGE '!M348</f>
        <v>0</v>
      </c>
      <c r="X348" s="76"/>
      <c r="Y348" s="180"/>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O349+AUG!P349</f>
        <v>0</v>
      </c>
      <c r="Q349" s="59"/>
      <c r="R349" s="51"/>
      <c r="S349" s="65"/>
      <c r="T349" s="64"/>
      <c r="U349" s="67"/>
      <c r="V349" s="74"/>
      <c r="W349" s="6">
        <f>'CLIENT ENROLLMENT DISCHARGE '!M349</f>
        <v>0</v>
      </c>
      <c r="X349" s="76"/>
      <c r="Y349" s="180"/>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O350+AUG!P350</f>
        <v>0</v>
      </c>
      <c r="Q350" s="60"/>
      <c r="R350" s="52"/>
      <c r="S350" s="66"/>
      <c r="T350" s="65"/>
      <c r="U350" s="68"/>
      <c r="V350" s="75"/>
      <c r="W350" s="6">
        <f>'CLIENT ENROLLMENT DISCHARGE '!M350</f>
        <v>0</v>
      </c>
      <c r="X350" s="76"/>
      <c r="Y350" s="180"/>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O351+AUG!P351</f>
        <v>0</v>
      </c>
      <c r="Q351" s="59"/>
      <c r="R351" s="51"/>
      <c r="S351" s="65"/>
      <c r="T351" s="64"/>
      <c r="U351" s="67"/>
      <c r="V351" s="74"/>
      <c r="W351" s="6">
        <f>'CLIENT ENROLLMENT DISCHARGE '!M351</f>
        <v>0</v>
      </c>
      <c r="X351" s="76"/>
      <c r="Y351" s="180"/>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O352+AUG!P352</f>
        <v>0</v>
      </c>
      <c r="Q352" s="60"/>
      <c r="R352" s="52"/>
      <c r="S352" s="66"/>
      <c r="T352" s="65"/>
      <c r="U352" s="68"/>
      <c r="V352" s="59"/>
      <c r="W352" s="6">
        <f>'CLIENT ENROLLMENT DISCHARGE '!M352</f>
        <v>0</v>
      </c>
      <c r="X352" s="76"/>
      <c r="Y352" s="180"/>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O353+AUG!P353</f>
        <v>0</v>
      </c>
      <c r="Q353" s="59"/>
      <c r="R353" s="51"/>
      <c r="S353" s="65"/>
      <c r="T353" s="64"/>
      <c r="U353" s="67"/>
      <c r="V353" s="74"/>
      <c r="W353" s="6">
        <f>'CLIENT ENROLLMENT DISCHARGE '!M353</f>
        <v>0</v>
      </c>
      <c r="X353" s="76"/>
      <c r="Y353" s="180"/>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O354+AUG!P354</f>
        <v>0</v>
      </c>
      <c r="Q354" s="60"/>
      <c r="R354" s="52"/>
      <c r="S354" s="66"/>
      <c r="T354" s="65"/>
      <c r="U354" s="68"/>
      <c r="V354" s="59"/>
      <c r="W354" s="6">
        <f>'CLIENT ENROLLMENT DISCHARGE '!M354</f>
        <v>0</v>
      </c>
      <c r="X354" s="76"/>
      <c r="Y354" s="180"/>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O355+AUG!P355</f>
        <v>0</v>
      </c>
      <c r="Q355" s="59"/>
      <c r="R355" s="51"/>
      <c r="S355" s="65"/>
      <c r="T355" s="64"/>
      <c r="U355" s="67"/>
      <c r="V355" s="74"/>
      <c r="W355" s="6">
        <f>'CLIENT ENROLLMENT DISCHARGE '!M355</f>
        <v>0</v>
      </c>
      <c r="X355" s="76"/>
      <c r="Y355" s="180"/>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O356+AUG!P356</f>
        <v>0</v>
      </c>
      <c r="Q356" s="60"/>
      <c r="R356" s="52"/>
      <c r="S356" s="66"/>
      <c r="T356" s="65"/>
      <c r="U356" s="68"/>
      <c r="V356" s="59"/>
      <c r="W356" s="6">
        <f>'CLIENT ENROLLMENT DISCHARGE '!M356</f>
        <v>0</v>
      </c>
      <c r="X356" s="76"/>
      <c r="Y356" s="180"/>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O357+AUG!P357</f>
        <v>0</v>
      </c>
      <c r="Q357" s="59"/>
      <c r="R357" s="51"/>
      <c r="S357" s="65"/>
      <c r="T357" s="64"/>
      <c r="U357" s="67"/>
      <c r="V357" s="74"/>
      <c r="W357" s="6">
        <f>'CLIENT ENROLLMENT DISCHARGE '!M357</f>
        <v>0</v>
      </c>
      <c r="X357" s="76"/>
      <c r="Y357" s="180"/>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O358+AUG!P358</f>
        <v>0</v>
      </c>
      <c r="Q358" s="60"/>
      <c r="R358" s="52"/>
      <c r="S358" s="66"/>
      <c r="T358" s="65"/>
      <c r="U358" s="68"/>
      <c r="V358" s="59"/>
      <c r="W358" s="6">
        <f>'CLIENT ENROLLMENT DISCHARGE '!M358</f>
        <v>0</v>
      </c>
      <c r="X358" s="76"/>
      <c r="Y358" s="180"/>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O359+AUG!P359</f>
        <v>0</v>
      </c>
      <c r="Q359" s="59"/>
      <c r="R359" s="51"/>
      <c r="S359" s="65"/>
      <c r="T359" s="64"/>
      <c r="U359" s="67"/>
      <c r="V359" s="74"/>
      <c r="W359" s="6">
        <f>'CLIENT ENROLLMENT DISCHARGE '!M359</f>
        <v>0</v>
      </c>
      <c r="X359" s="76"/>
      <c r="Y359" s="180"/>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O360+AUG!P360</f>
        <v>0</v>
      </c>
      <c r="Q360" s="60"/>
      <c r="R360" s="52"/>
      <c r="S360" s="66"/>
      <c r="T360" s="65"/>
      <c r="U360" s="68"/>
      <c r="V360" s="75"/>
      <c r="W360" s="6">
        <f>'CLIENT ENROLLMENT DISCHARGE '!M360</f>
        <v>0</v>
      </c>
      <c r="X360" s="76"/>
      <c r="Y360" s="180"/>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O361+AUG!P361</f>
        <v>0</v>
      </c>
      <c r="Q361" s="59"/>
      <c r="R361" s="51"/>
      <c r="S361" s="65"/>
      <c r="T361" s="64"/>
      <c r="U361" s="67"/>
      <c r="V361" s="74"/>
      <c r="W361" s="6">
        <f>'CLIENT ENROLLMENT DISCHARGE '!M361</f>
        <v>0</v>
      </c>
      <c r="X361" s="76"/>
      <c r="Y361" s="180"/>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O362+AUG!P362</f>
        <v>0</v>
      </c>
      <c r="Q362" s="60"/>
      <c r="R362" s="52"/>
      <c r="S362" s="66"/>
      <c r="T362" s="65"/>
      <c r="U362" s="68"/>
      <c r="V362" s="59"/>
      <c r="W362" s="6">
        <f>'CLIENT ENROLLMENT DISCHARGE '!M362</f>
        <v>0</v>
      </c>
      <c r="X362" s="76"/>
      <c r="Y362" s="180"/>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O363+AUG!P363</f>
        <v>0</v>
      </c>
      <c r="Q363" s="59"/>
      <c r="R363" s="51"/>
      <c r="S363" s="65"/>
      <c r="T363" s="64"/>
      <c r="U363" s="67"/>
      <c r="V363" s="74"/>
      <c r="W363" s="6">
        <f>'CLIENT ENROLLMENT DISCHARGE '!M363</f>
        <v>0</v>
      </c>
      <c r="X363" s="76"/>
      <c r="Y363" s="180"/>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O364+AUG!P364</f>
        <v>0</v>
      </c>
      <c r="Q364" s="60"/>
      <c r="R364" s="52"/>
      <c r="S364" s="66"/>
      <c r="T364" s="65"/>
      <c r="U364" s="68"/>
      <c r="V364" s="59"/>
      <c r="W364" s="6">
        <f>'CLIENT ENROLLMENT DISCHARGE '!M364</f>
        <v>0</v>
      </c>
      <c r="X364" s="76"/>
      <c r="Y364" s="180"/>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O365+AUG!P365</f>
        <v>0</v>
      </c>
      <c r="Q365" s="59"/>
      <c r="R365" s="51"/>
      <c r="S365" s="65"/>
      <c r="T365" s="64"/>
      <c r="U365" s="67"/>
      <c r="V365" s="74"/>
      <c r="W365" s="6">
        <f>'CLIENT ENROLLMENT DISCHARGE '!M365</f>
        <v>0</v>
      </c>
      <c r="X365" s="76"/>
      <c r="Y365" s="180"/>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O366+AUG!P366</f>
        <v>0</v>
      </c>
      <c r="Q366" s="60"/>
      <c r="R366" s="52"/>
      <c r="S366" s="66"/>
      <c r="T366" s="65"/>
      <c r="U366" s="68"/>
      <c r="V366" s="59"/>
      <c r="W366" s="6">
        <f>'CLIENT ENROLLMENT DISCHARGE '!M366</f>
        <v>0</v>
      </c>
      <c r="X366" s="76"/>
      <c r="Y366" s="180"/>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O367+AUG!P367</f>
        <v>0</v>
      </c>
      <c r="Q367" s="59"/>
      <c r="R367" s="51"/>
      <c r="S367" s="65"/>
      <c r="T367" s="64"/>
      <c r="U367" s="67"/>
      <c r="V367" s="74"/>
      <c r="W367" s="6">
        <f>'CLIENT ENROLLMENT DISCHARGE '!M367</f>
        <v>0</v>
      </c>
      <c r="X367" s="76"/>
      <c r="Y367" s="180"/>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O368+AUG!P368</f>
        <v>0</v>
      </c>
      <c r="Q368" s="60"/>
      <c r="R368" s="52"/>
      <c r="S368" s="66"/>
      <c r="T368" s="65"/>
      <c r="U368" s="68"/>
      <c r="V368" s="59"/>
      <c r="W368" s="6">
        <f>'CLIENT ENROLLMENT DISCHARGE '!M368</f>
        <v>0</v>
      </c>
      <c r="X368" s="76"/>
      <c r="Y368" s="180"/>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O369+AUG!P369</f>
        <v>0</v>
      </c>
      <c r="Q369" s="59"/>
      <c r="R369" s="51"/>
      <c r="S369" s="65"/>
      <c r="T369" s="64"/>
      <c r="U369" s="67"/>
      <c r="V369" s="74"/>
      <c r="W369" s="6">
        <f>'CLIENT ENROLLMENT DISCHARGE '!M369</f>
        <v>0</v>
      </c>
      <c r="X369" s="76"/>
      <c r="Y369" s="180"/>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O370+AUG!P370</f>
        <v>0</v>
      </c>
      <c r="Q370" s="60"/>
      <c r="R370" s="52"/>
      <c r="S370" s="66"/>
      <c r="T370" s="65"/>
      <c r="U370" s="68"/>
      <c r="V370" s="75"/>
      <c r="W370" s="6">
        <f>'CLIENT ENROLLMENT DISCHARGE '!M370</f>
        <v>0</v>
      </c>
      <c r="X370" s="76"/>
      <c r="Y370" s="180"/>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O371+AUG!P371</f>
        <v>0</v>
      </c>
      <c r="Q371" s="59"/>
      <c r="R371" s="51"/>
      <c r="S371" s="65"/>
      <c r="T371" s="64"/>
      <c r="U371" s="67"/>
      <c r="V371" s="74"/>
      <c r="W371" s="6">
        <f>'CLIENT ENROLLMENT DISCHARGE '!M371</f>
        <v>0</v>
      </c>
      <c r="X371" s="76"/>
      <c r="Y371" s="180"/>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O372+AUG!P372</f>
        <v>0</v>
      </c>
      <c r="Q372" s="60"/>
      <c r="R372" s="52"/>
      <c r="S372" s="66"/>
      <c r="T372" s="65"/>
      <c r="U372" s="68"/>
      <c r="V372" s="59"/>
      <c r="W372" s="6">
        <f>'CLIENT ENROLLMENT DISCHARGE '!M372</f>
        <v>0</v>
      </c>
      <c r="X372" s="76"/>
      <c r="Y372" s="180"/>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O373+AUG!P373</f>
        <v>0</v>
      </c>
      <c r="Q373" s="59"/>
      <c r="R373" s="51"/>
      <c r="S373" s="65"/>
      <c r="T373" s="64"/>
      <c r="U373" s="67"/>
      <c r="V373" s="74"/>
      <c r="W373" s="6">
        <f>'CLIENT ENROLLMENT DISCHARGE '!M373</f>
        <v>0</v>
      </c>
      <c r="X373" s="76"/>
      <c r="Y373" s="180"/>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O374+AUG!P374</f>
        <v>0</v>
      </c>
      <c r="Q374" s="60"/>
      <c r="R374" s="52"/>
      <c r="S374" s="66"/>
      <c r="T374" s="65"/>
      <c r="U374" s="68"/>
      <c r="V374" s="59"/>
      <c r="W374" s="6">
        <f>'CLIENT ENROLLMENT DISCHARGE '!M374</f>
        <v>0</v>
      </c>
      <c r="X374" s="76"/>
      <c r="Y374" s="180"/>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O375+AUG!P375</f>
        <v>0</v>
      </c>
      <c r="Q375" s="59"/>
      <c r="R375" s="51"/>
      <c r="S375" s="65"/>
      <c r="T375" s="64"/>
      <c r="U375" s="67"/>
      <c r="V375" s="74"/>
      <c r="W375" s="6">
        <f>'CLIENT ENROLLMENT DISCHARGE '!M375</f>
        <v>0</v>
      </c>
      <c r="X375" s="76"/>
      <c r="Y375" s="180"/>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O376+AUG!P376</f>
        <v>0</v>
      </c>
      <c r="Q376" s="60"/>
      <c r="R376" s="52"/>
      <c r="S376" s="66"/>
      <c r="T376" s="65"/>
      <c r="U376" s="68"/>
      <c r="V376" s="59"/>
      <c r="W376" s="6">
        <f>'CLIENT ENROLLMENT DISCHARGE '!M376</f>
        <v>0</v>
      </c>
      <c r="X376" s="76"/>
      <c r="Y376" s="180"/>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O377+AUG!P377</f>
        <v>0</v>
      </c>
      <c r="Q377" s="59"/>
      <c r="R377" s="51"/>
      <c r="S377" s="65"/>
      <c r="T377" s="64"/>
      <c r="U377" s="67"/>
      <c r="V377" s="74"/>
      <c r="W377" s="6">
        <f>'CLIENT ENROLLMENT DISCHARGE '!M377</f>
        <v>0</v>
      </c>
      <c r="X377" s="76"/>
      <c r="Y377" s="180"/>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O378+AUG!P378</f>
        <v>0</v>
      </c>
      <c r="Q378" s="60"/>
      <c r="R378" s="52"/>
      <c r="S378" s="66"/>
      <c r="T378" s="65"/>
      <c r="U378" s="68"/>
      <c r="V378" s="59"/>
      <c r="W378" s="6">
        <f>'CLIENT ENROLLMENT DISCHARGE '!M378</f>
        <v>0</v>
      </c>
      <c r="X378" s="76"/>
      <c r="Y378" s="180"/>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O379+AUG!P379</f>
        <v>0</v>
      </c>
      <c r="Q379" s="59"/>
      <c r="R379" s="51"/>
      <c r="S379" s="65"/>
      <c r="T379" s="64"/>
      <c r="U379" s="67"/>
      <c r="V379" s="74"/>
      <c r="W379" s="6">
        <f>'CLIENT ENROLLMENT DISCHARGE '!M379</f>
        <v>0</v>
      </c>
      <c r="X379" s="76"/>
      <c r="Y379" s="180"/>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O380+AUG!P380</f>
        <v>0</v>
      </c>
      <c r="Q380" s="60"/>
      <c r="R380" s="52"/>
      <c r="S380" s="66"/>
      <c r="T380" s="65"/>
      <c r="U380" s="68"/>
      <c r="V380" s="75"/>
      <c r="W380" s="6">
        <f>'CLIENT ENROLLMENT DISCHARGE '!M380</f>
        <v>0</v>
      </c>
      <c r="X380" s="76"/>
      <c r="Y380" s="180"/>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O381+AUG!P381</f>
        <v>0</v>
      </c>
      <c r="Q381" s="59"/>
      <c r="R381" s="51"/>
      <c r="S381" s="65"/>
      <c r="T381" s="64"/>
      <c r="U381" s="67"/>
      <c r="V381" s="74"/>
      <c r="W381" s="6">
        <f>'CLIENT ENROLLMENT DISCHARGE '!M381</f>
        <v>0</v>
      </c>
      <c r="X381" s="76"/>
      <c r="Y381" s="180"/>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O382+AUG!P382</f>
        <v>0</v>
      </c>
      <c r="Q382" s="60"/>
      <c r="R382" s="52"/>
      <c r="S382" s="66"/>
      <c r="T382" s="65"/>
      <c r="U382" s="68"/>
      <c r="V382" s="59"/>
      <c r="W382" s="6">
        <f>'CLIENT ENROLLMENT DISCHARGE '!M382</f>
        <v>0</v>
      </c>
      <c r="X382" s="76"/>
      <c r="Y382" s="180"/>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O383+AUG!P383</f>
        <v>0</v>
      </c>
      <c r="Q383" s="59"/>
      <c r="R383" s="51"/>
      <c r="S383" s="65"/>
      <c r="T383" s="64"/>
      <c r="U383" s="67"/>
      <c r="V383" s="74"/>
      <c r="W383" s="6">
        <f>'CLIENT ENROLLMENT DISCHARGE '!M383</f>
        <v>0</v>
      </c>
      <c r="X383" s="76"/>
      <c r="Y383" s="180"/>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O384+AUG!P384</f>
        <v>0</v>
      </c>
      <c r="Q384" s="60"/>
      <c r="R384" s="52"/>
      <c r="S384" s="66"/>
      <c r="T384" s="65"/>
      <c r="U384" s="68"/>
      <c r="V384" s="59"/>
      <c r="W384" s="6">
        <f>'CLIENT ENROLLMENT DISCHARGE '!M384</f>
        <v>0</v>
      </c>
      <c r="X384" s="76"/>
      <c r="Y384" s="180"/>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O385+AUG!P385</f>
        <v>0</v>
      </c>
      <c r="Q385" s="59"/>
      <c r="R385" s="51"/>
      <c r="S385" s="65"/>
      <c r="T385" s="64"/>
      <c r="U385" s="67"/>
      <c r="V385" s="74"/>
      <c r="W385" s="6">
        <f>'CLIENT ENROLLMENT DISCHARGE '!M385</f>
        <v>0</v>
      </c>
      <c r="X385" s="76"/>
      <c r="Y385" s="180"/>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O386+AUG!P386</f>
        <v>0</v>
      </c>
      <c r="Q386" s="60"/>
      <c r="R386" s="52"/>
      <c r="S386" s="66"/>
      <c r="T386" s="65"/>
      <c r="U386" s="68"/>
      <c r="V386" s="59"/>
      <c r="W386" s="6">
        <f>'CLIENT ENROLLMENT DISCHARGE '!M386</f>
        <v>0</v>
      </c>
      <c r="X386" s="76"/>
      <c r="Y386" s="180"/>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O387+AUG!P387</f>
        <v>0</v>
      </c>
      <c r="Q387" s="59"/>
      <c r="R387" s="51"/>
      <c r="S387" s="65"/>
      <c r="T387" s="64"/>
      <c r="U387" s="67"/>
      <c r="V387" s="74"/>
      <c r="W387" s="6">
        <f>'CLIENT ENROLLMENT DISCHARGE '!M387</f>
        <v>0</v>
      </c>
      <c r="X387" s="76"/>
      <c r="Y387" s="180"/>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O388+AUG!P388</f>
        <v>0</v>
      </c>
      <c r="Q388" s="60"/>
      <c r="R388" s="52"/>
      <c r="S388" s="66"/>
      <c r="T388" s="65"/>
      <c r="U388" s="68"/>
      <c r="V388" s="59"/>
      <c r="W388" s="6">
        <f>'CLIENT ENROLLMENT DISCHARGE '!M388</f>
        <v>0</v>
      </c>
      <c r="X388" s="76"/>
      <c r="Y388" s="180"/>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O389+AUG!P389</f>
        <v>0</v>
      </c>
      <c r="Q389" s="59"/>
      <c r="R389" s="51"/>
      <c r="S389" s="65"/>
      <c r="T389" s="64"/>
      <c r="U389" s="67"/>
      <c r="V389" s="74"/>
      <c r="W389" s="6">
        <f>'CLIENT ENROLLMENT DISCHARGE '!M389</f>
        <v>0</v>
      </c>
      <c r="X389" s="76"/>
      <c r="Y389" s="180"/>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O390+AUG!P390</f>
        <v>0</v>
      </c>
      <c r="Q390" s="60"/>
      <c r="R390" s="52"/>
      <c r="S390" s="66"/>
      <c r="T390" s="65"/>
      <c r="U390" s="68"/>
      <c r="V390" s="75"/>
      <c r="W390" s="6">
        <f>'CLIENT ENROLLMENT DISCHARGE '!M390</f>
        <v>0</v>
      </c>
      <c r="X390" s="76"/>
      <c r="Y390" s="180"/>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O391+AUG!P391</f>
        <v>0</v>
      </c>
      <c r="Q391" s="59"/>
      <c r="R391" s="51"/>
      <c r="S391" s="65"/>
      <c r="T391" s="64"/>
      <c r="U391" s="67"/>
      <c r="V391" s="74"/>
      <c r="W391" s="6">
        <f>'CLIENT ENROLLMENT DISCHARGE '!M391</f>
        <v>0</v>
      </c>
      <c r="X391" s="76"/>
      <c r="Y391" s="180"/>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O392+AUG!P392</f>
        <v>0</v>
      </c>
      <c r="Q392" s="60"/>
      <c r="R392" s="52"/>
      <c r="S392" s="66"/>
      <c r="T392" s="65"/>
      <c r="U392" s="68"/>
      <c r="V392" s="59"/>
      <c r="W392" s="6">
        <f>'CLIENT ENROLLMENT DISCHARGE '!M392</f>
        <v>0</v>
      </c>
      <c r="X392" s="76"/>
      <c r="Y392" s="180"/>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O393+AUG!P393</f>
        <v>0</v>
      </c>
      <c r="Q393" s="59"/>
      <c r="R393" s="51"/>
      <c r="S393" s="65"/>
      <c r="T393" s="64"/>
      <c r="U393" s="67"/>
      <c r="V393" s="74"/>
      <c r="W393" s="6">
        <f>'CLIENT ENROLLMENT DISCHARGE '!M393</f>
        <v>0</v>
      </c>
      <c r="X393" s="76"/>
      <c r="Y393" s="180"/>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O394+AUG!P394</f>
        <v>0</v>
      </c>
      <c r="Q394" s="60"/>
      <c r="R394" s="52"/>
      <c r="S394" s="66"/>
      <c r="T394" s="65"/>
      <c r="U394" s="68"/>
      <c r="V394" s="59"/>
      <c r="W394" s="6">
        <f>'CLIENT ENROLLMENT DISCHARGE '!M394</f>
        <v>0</v>
      </c>
      <c r="X394" s="76"/>
      <c r="Y394" s="180"/>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O395+AUG!P395</f>
        <v>0</v>
      </c>
      <c r="Q395" s="59"/>
      <c r="R395" s="51"/>
      <c r="S395" s="65"/>
      <c r="T395" s="64"/>
      <c r="U395" s="67"/>
      <c r="V395" s="74"/>
      <c r="W395" s="6">
        <f>'CLIENT ENROLLMENT DISCHARGE '!M395</f>
        <v>0</v>
      </c>
      <c r="X395" s="76"/>
      <c r="Y395" s="180"/>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O396+AUG!P396</f>
        <v>0</v>
      </c>
      <c r="Q396" s="60"/>
      <c r="R396" s="52"/>
      <c r="S396" s="66"/>
      <c r="T396" s="65"/>
      <c r="U396" s="68"/>
      <c r="V396" s="59"/>
      <c r="W396" s="6">
        <f>'CLIENT ENROLLMENT DISCHARGE '!M396</f>
        <v>0</v>
      </c>
      <c r="X396" s="76"/>
      <c r="Y396" s="180"/>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O397+AUG!P397</f>
        <v>0</v>
      </c>
      <c r="Q397" s="59"/>
      <c r="R397" s="51"/>
      <c r="S397" s="65"/>
      <c r="T397" s="64"/>
      <c r="U397" s="67"/>
      <c r="V397" s="74"/>
      <c r="W397" s="6">
        <f>'CLIENT ENROLLMENT DISCHARGE '!M397</f>
        <v>0</v>
      </c>
      <c r="X397" s="76"/>
      <c r="Y397" s="180"/>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O398+AUG!P398</f>
        <v>0</v>
      </c>
      <c r="Q398" s="60"/>
      <c r="R398" s="52"/>
      <c r="S398" s="66"/>
      <c r="T398" s="65"/>
      <c r="U398" s="68"/>
      <c r="V398" s="59"/>
      <c r="W398" s="6">
        <f>'CLIENT ENROLLMENT DISCHARGE '!M398</f>
        <v>0</v>
      </c>
      <c r="X398" s="76"/>
      <c r="Y398" s="180"/>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O399+AUG!P399</f>
        <v>0</v>
      </c>
      <c r="Q399" s="59"/>
      <c r="R399" s="51"/>
      <c r="S399" s="65"/>
      <c r="T399" s="64"/>
      <c r="U399" s="67"/>
      <c r="V399" s="74"/>
      <c r="W399" s="6">
        <f>'CLIENT ENROLLMENT DISCHARGE '!M399</f>
        <v>0</v>
      </c>
      <c r="X399" s="76"/>
      <c r="Y399" s="180"/>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O400+AUG!P400</f>
        <v>0</v>
      </c>
      <c r="Q400" s="60"/>
      <c r="R400" s="52"/>
      <c r="S400" s="66"/>
      <c r="T400" s="65"/>
      <c r="U400" s="68"/>
      <c r="V400" s="75"/>
      <c r="W400" s="6">
        <f>'CLIENT ENROLLMENT DISCHARGE '!M400</f>
        <v>0</v>
      </c>
      <c r="X400" s="76"/>
      <c r="Y400" s="180"/>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O401+AUG!P401</f>
        <v>0</v>
      </c>
      <c r="Q401" s="59"/>
      <c r="R401" s="51"/>
      <c r="S401" s="65"/>
      <c r="T401" s="64"/>
      <c r="U401" s="67"/>
      <c r="V401" s="74"/>
      <c r="W401" s="6">
        <f>'CLIENT ENROLLMENT DISCHARGE '!M401</f>
        <v>0</v>
      </c>
      <c r="X401" s="76"/>
      <c r="Y401" s="180"/>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O402+AUG!P402</f>
        <v>0</v>
      </c>
      <c r="Q402" s="60"/>
      <c r="R402" s="52"/>
      <c r="S402" s="66"/>
      <c r="T402" s="65"/>
      <c r="U402" s="68"/>
      <c r="V402" s="59"/>
      <c r="W402" s="6">
        <f>'CLIENT ENROLLMENT DISCHARGE '!M402</f>
        <v>0</v>
      </c>
      <c r="X402" s="76"/>
      <c r="Y402" s="180"/>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O403+AUG!P403</f>
        <v>0</v>
      </c>
      <c r="Q403" s="59"/>
      <c r="R403" s="51"/>
      <c r="S403" s="65"/>
      <c r="T403" s="64"/>
      <c r="U403" s="67"/>
      <c r="V403" s="74"/>
      <c r="W403" s="6">
        <f>'CLIENT ENROLLMENT DISCHARGE '!M403</f>
        <v>0</v>
      </c>
      <c r="X403" s="76"/>
      <c r="Y403" s="180"/>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O404+AUG!P404</f>
        <v>0</v>
      </c>
      <c r="Q404" s="60"/>
      <c r="R404" s="52"/>
      <c r="S404" s="66"/>
      <c r="T404" s="65"/>
      <c r="U404" s="68"/>
      <c r="V404" s="59"/>
      <c r="W404" s="6">
        <f>'CLIENT ENROLLMENT DISCHARGE '!M404</f>
        <v>0</v>
      </c>
      <c r="X404" s="76"/>
      <c r="Y404" s="180"/>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O405+AUG!P405</f>
        <v>0</v>
      </c>
      <c r="Q405" s="59"/>
      <c r="R405" s="51"/>
      <c r="S405" s="65"/>
      <c r="T405" s="64"/>
      <c r="U405" s="67"/>
      <c r="V405" s="74"/>
      <c r="W405" s="6">
        <f>'CLIENT ENROLLMENT DISCHARGE '!M405</f>
        <v>0</v>
      </c>
      <c r="X405" s="76"/>
      <c r="Y405" s="180"/>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O406+AUG!P406</f>
        <v>0</v>
      </c>
      <c r="Q406" s="60"/>
      <c r="R406" s="52"/>
      <c r="S406" s="66"/>
      <c r="T406" s="65"/>
      <c r="U406" s="68"/>
      <c r="V406" s="59"/>
      <c r="W406" s="6">
        <f>'CLIENT ENROLLMENT DISCHARGE '!M406</f>
        <v>0</v>
      </c>
      <c r="X406" s="76"/>
      <c r="Y406" s="180"/>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O407+AUG!P407</f>
        <v>0</v>
      </c>
      <c r="Q407" s="59"/>
      <c r="R407" s="51"/>
      <c r="S407" s="65"/>
      <c r="T407" s="64"/>
      <c r="U407" s="67"/>
      <c r="V407" s="74"/>
      <c r="W407" s="6">
        <f>'CLIENT ENROLLMENT DISCHARGE '!M407</f>
        <v>0</v>
      </c>
      <c r="X407" s="76"/>
      <c r="Y407" s="180"/>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O408+AUG!P408</f>
        <v>0</v>
      </c>
      <c r="Q408" s="60"/>
      <c r="R408" s="52"/>
      <c r="S408" s="66"/>
      <c r="T408" s="65"/>
      <c r="U408" s="68"/>
      <c r="V408" s="59"/>
      <c r="W408" s="6">
        <f>'CLIENT ENROLLMENT DISCHARGE '!M408</f>
        <v>0</v>
      </c>
      <c r="X408" s="76"/>
      <c r="Y408" s="180"/>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O409+AUG!P409</f>
        <v>0</v>
      </c>
      <c r="Q409" s="59"/>
      <c r="R409" s="51"/>
      <c r="S409" s="65"/>
      <c r="T409" s="64"/>
      <c r="U409" s="67"/>
      <c r="V409" s="74"/>
      <c r="W409" s="6">
        <f>'CLIENT ENROLLMENT DISCHARGE '!M409</f>
        <v>0</v>
      </c>
      <c r="X409" s="76"/>
      <c r="Y409" s="180"/>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O410+AUG!P410</f>
        <v>0</v>
      </c>
      <c r="Q410" s="60"/>
      <c r="R410" s="52"/>
      <c r="S410" s="66"/>
      <c r="T410" s="65"/>
      <c r="U410" s="68"/>
      <c r="V410" s="75"/>
      <c r="W410" s="6">
        <f>'CLIENT ENROLLMENT DISCHARGE '!M410</f>
        <v>0</v>
      </c>
      <c r="X410" s="76"/>
      <c r="Y410" s="180"/>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O411+AUG!P411</f>
        <v>0</v>
      </c>
      <c r="Q411" s="59"/>
      <c r="R411" s="51"/>
      <c r="S411" s="65"/>
      <c r="T411" s="64"/>
      <c r="U411" s="67"/>
      <c r="V411" s="74"/>
      <c r="W411" s="6">
        <f>'CLIENT ENROLLMENT DISCHARGE '!M411</f>
        <v>0</v>
      </c>
      <c r="X411" s="76"/>
      <c r="Y411" s="180"/>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O412+AUG!P412</f>
        <v>0</v>
      </c>
      <c r="Q412" s="60"/>
      <c r="R412" s="52"/>
      <c r="S412" s="66"/>
      <c r="T412" s="65"/>
      <c r="U412" s="68"/>
      <c r="V412" s="59"/>
      <c r="W412" s="6">
        <f>'CLIENT ENROLLMENT DISCHARGE '!M412</f>
        <v>0</v>
      </c>
      <c r="X412" s="76"/>
      <c r="Y412" s="180"/>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O413+AUG!P413</f>
        <v>0</v>
      </c>
      <c r="Q413" s="59"/>
      <c r="R413" s="51"/>
      <c r="S413" s="65"/>
      <c r="T413" s="64"/>
      <c r="U413" s="67"/>
      <c r="V413" s="74"/>
      <c r="W413" s="6">
        <f>'CLIENT ENROLLMENT DISCHARGE '!M413</f>
        <v>0</v>
      </c>
      <c r="X413" s="76"/>
      <c r="Y413" s="180"/>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O414+AUG!P414</f>
        <v>0</v>
      </c>
      <c r="Q414" s="60"/>
      <c r="R414" s="52"/>
      <c r="S414" s="66"/>
      <c r="T414" s="65"/>
      <c r="U414" s="68"/>
      <c r="V414" s="59"/>
      <c r="W414" s="6">
        <f>'CLIENT ENROLLMENT DISCHARGE '!M414</f>
        <v>0</v>
      </c>
      <c r="X414" s="76"/>
      <c r="Y414" s="180"/>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O415+AUG!P415</f>
        <v>0</v>
      </c>
      <c r="Q415" s="59"/>
      <c r="R415" s="51"/>
      <c r="S415" s="65"/>
      <c r="T415" s="64"/>
      <c r="U415" s="67"/>
      <c r="V415" s="74"/>
      <c r="W415" s="6">
        <f>'CLIENT ENROLLMENT DISCHARGE '!M415</f>
        <v>0</v>
      </c>
      <c r="X415" s="76"/>
      <c r="Y415" s="180"/>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O416+AUG!P416</f>
        <v>0</v>
      </c>
      <c r="Q416" s="60"/>
      <c r="R416" s="52"/>
      <c r="S416" s="66"/>
      <c r="T416" s="65"/>
      <c r="U416" s="68"/>
      <c r="V416" s="59"/>
      <c r="W416" s="6">
        <f>'CLIENT ENROLLMENT DISCHARGE '!M416</f>
        <v>0</v>
      </c>
      <c r="X416" s="76"/>
      <c r="Y416" s="180"/>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O417+AUG!P417</f>
        <v>0</v>
      </c>
      <c r="Q417" s="59"/>
      <c r="R417" s="51"/>
      <c r="S417" s="65"/>
      <c r="T417" s="64"/>
      <c r="U417" s="67"/>
      <c r="V417" s="74"/>
      <c r="W417" s="6">
        <f>'CLIENT ENROLLMENT DISCHARGE '!M417</f>
        <v>0</v>
      </c>
      <c r="X417" s="76"/>
      <c r="Y417" s="180"/>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O418+AUG!P418</f>
        <v>0</v>
      </c>
      <c r="Q418" s="60"/>
      <c r="R418" s="52"/>
      <c r="S418" s="66"/>
      <c r="T418" s="65"/>
      <c r="U418" s="68"/>
      <c r="V418" s="59"/>
      <c r="W418" s="6">
        <f>'CLIENT ENROLLMENT DISCHARGE '!M418</f>
        <v>0</v>
      </c>
      <c r="X418" s="76"/>
      <c r="Y418" s="180"/>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O419+AUG!P419</f>
        <v>0</v>
      </c>
      <c r="Q419" s="59"/>
      <c r="R419" s="51"/>
      <c r="S419" s="65"/>
      <c r="T419" s="64"/>
      <c r="U419" s="67"/>
      <c r="V419" s="74"/>
      <c r="W419" s="6">
        <f>'CLIENT ENROLLMENT DISCHARGE '!M419</f>
        <v>0</v>
      </c>
      <c r="X419" s="76"/>
      <c r="Y419" s="180"/>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O420+AUG!P420</f>
        <v>0</v>
      </c>
      <c r="Q420" s="60"/>
      <c r="R420" s="52"/>
      <c r="S420" s="66"/>
      <c r="T420" s="65"/>
      <c r="U420" s="68"/>
      <c r="V420" s="75"/>
      <c r="W420" s="6">
        <f>'CLIENT ENROLLMENT DISCHARGE '!M420</f>
        <v>0</v>
      </c>
      <c r="X420" s="76"/>
      <c r="Y420" s="180"/>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O421+AUG!P421</f>
        <v>0</v>
      </c>
      <c r="Q421" s="59"/>
      <c r="R421" s="51"/>
      <c r="S421" s="65"/>
      <c r="T421" s="64"/>
      <c r="U421" s="67"/>
      <c r="V421" s="74"/>
      <c r="W421" s="6">
        <f>'CLIENT ENROLLMENT DISCHARGE '!M421</f>
        <v>0</v>
      </c>
      <c r="X421" s="76"/>
      <c r="Y421" s="180"/>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O422+AUG!P422</f>
        <v>0</v>
      </c>
      <c r="Q422" s="60"/>
      <c r="R422" s="52"/>
      <c r="S422" s="66"/>
      <c r="T422" s="65"/>
      <c r="U422" s="68"/>
      <c r="V422" s="59"/>
      <c r="W422" s="6">
        <f>'CLIENT ENROLLMENT DISCHARGE '!M422</f>
        <v>0</v>
      </c>
      <c r="X422" s="76"/>
      <c r="Y422" s="180"/>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O423+AUG!P423</f>
        <v>0</v>
      </c>
      <c r="Q423" s="59"/>
      <c r="R423" s="51"/>
      <c r="S423" s="65"/>
      <c r="T423" s="64"/>
      <c r="U423" s="67"/>
      <c r="V423" s="74"/>
      <c r="W423" s="6">
        <f>'CLIENT ENROLLMENT DISCHARGE '!M423</f>
        <v>0</v>
      </c>
      <c r="X423" s="76"/>
      <c r="Y423" s="180"/>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O424+AUG!P424</f>
        <v>0</v>
      </c>
      <c r="Q424" s="60"/>
      <c r="R424" s="52"/>
      <c r="S424" s="66"/>
      <c r="T424" s="65"/>
      <c r="U424" s="68"/>
      <c r="V424" s="59"/>
      <c r="W424" s="6">
        <f>'CLIENT ENROLLMENT DISCHARGE '!M424</f>
        <v>0</v>
      </c>
      <c r="X424" s="76"/>
      <c r="Y424" s="180"/>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O425+AUG!P425</f>
        <v>0</v>
      </c>
      <c r="Q425" s="59"/>
      <c r="R425" s="51"/>
      <c r="S425" s="65"/>
      <c r="T425" s="64"/>
      <c r="U425" s="67"/>
      <c r="V425" s="74"/>
      <c r="W425" s="6">
        <f>'CLIENT ENROLLMENT DISCHARGE '!M425</f>
        <v>0</v>
      </c>
      <c r="X425" s="76"/>
      <c r="Y425" s="180"/>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O426+AUG!P426</f>
        <v>0</v>
      </c>
      <c r="Q426" s="60"/>
      <c r="R426" s="52"/>
      <c r="S426" s="66"/>
      <c r="T426" s="65"/>
      <c r="U426" s="68"/>
      <c r="V426" s="59"/>
      <c r="W426" s="6">
        <f>'CLIENT ENROLLMENT DISCHARGE '!M426</f>
        <v>0</v>
      </c>
      <c r="X426" s="76"/>
      <c r="Y426" s="180"/>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O427+AUG!P427</f>
        <v>0</v>
      </c>
      <c r="Q427" s="59"/>
      <c r="R427" s="51"/>
      <c r="S427" s="65"/>
      <c r="T427" s="64"/>
      <c r="U427" s="67"/>
      <c r="V427" s="74"/>
      <c r="W427" s="6">
        <f>'CLIENT ENROLLMENT DISCHARGE '!M427</f>
        <v>0</v>
      </c>
      <c r="X427" s="76"/>
      <c r="Y427" s="180"/>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O428+AUG!P428</f>
        <v>0</v>
      </c>
      <c r="Q428" s="60"/>
      <c r="R428" s="52"/>
      <c r="S428" s="66"/>
      <c r="T428" s="65"/>
      <c r="U428" s="68"/>
      <c r="V428" s="59"/>
      <c r="W428" s="6">
        <f>'CLIENT ENROLLMENT DISCHARGE '!M428</f>
        <v>0</v>
      </c>
      <c r="X428" s="76"/>
      <c r="Y428" s="180"/>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O429+AUG!P429</f>
        <v>0</v>
      </c>
      <c r="Q429" s="59"/>
      <c r="R429" s="51"/>
      <c r="S429" s="65"/>
      <c r="T429" s="64"/>
      <c r="U429" s="67"/>
      <c r="V429" s="74"/>
      <c r="W429" s="6">
        <f>'CLIENT ENROLLMENT DISCHARGE '!M429</f>
        <v>0</v>
      </c>
      <c r="X429" s="76"/>
      <c r="Y429" s="180"/>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O430+AUG!P430</f>
        <v>0</v>
      </c>
      <c r="Q430" s="60"/>
      <c r="R430" s="52"/>
      <c r="S430" s="66"/>
      <c r="T430" s="65"/>
      <c r="U430" s="68"/>
      <c r="V430" s="75"/>
      <c r="W430" s="6">
        <f>'CLIENT ENROLLMENT DISCHARGE '!M430</f>
        <v>0</v>
      </c>
      <c r="X430" s="76"/>
      <c r="Y430" s="180"/>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O431+AUG!P431</f>
        <v>0</v>
      </c>
      <c r="Q431" s="59"/>
      <c r="R431" s="51"/>
      <c r="S431" s="65"/>
      <c r="T431" s="64"/>
      <c r="U431" s="67"/>
      <c r="V431" s="74"/>
      <c r="W431" s="6">
        <f>'CLIENT ENROLLMENT DISCHARGE '!M431</f>
        <v>0</v>
      </c>
      <c r="X431" s="76"/>
      <c r="Y431" s="180"/>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O432+AUG!P432</f>
        <v>0</v>
      </c>
      <c r="Q432" s="60"/>
      <c r="R432" s="52"/>
      <c r="S432" s="66"/>
      <c r="T432" s="65"/>
      <c r="U432" s="68"/>
      <c r="V432" s="59"/>
      <c r="W432" s="6">
        <f>'CLIENT ENROLLMENT DISCHARGE '!M432</f>
        <v>0</v>
      </c>
      <c r="X432" s="76"/>
      <c r="Y432" s="180"/>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O433+AUG!P433</f>
        <v>0</v>
      </c>
      <c r="Q433" s="59"/>
      <c r="R433" s="51"/>
      <c r="S433" s="65"/>
      <c r="T433" s="64"/>
      <c r="U433" s="67"/>
      <c r="V433" s="74"/>
      <c r="W433" s="6">
        <f>'CLIENT ENROLLMENT DISCHARGE '!M433</f>
        <v>0</v>
      </c>
      <c r="X433" s="76"/>
      <c r="Y433" s="180"/>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O434+AUG!P434</f>
        <v>0</v>
      </c>
      <c r="Q434" s="60"/>
      <c r="R434" s="52"/>
      <c r="S434" s="66"/>
      <c r="T434" s="65"/>
      <c r="U434" s="68"/>
      <c r="V434" s="59"/>
      <c r="W434" s="6">
        <f>'CLIENT ENROLLMENT DISCHARGE '!M434</f>
        <v>0</v>
      </c>
      <c r="X434" s="76"/>
      <c r="Y434" s="180"/>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O435+AUG!P435</f>
        <v>0</v>
      </c>
      <c r="Q435" s="59"/>
      <c r="R435" s="51"/>
      <c r="S435" s="65"/>
      <c r="T435" s="64"/>
      <c r="U435" s="67"/>
      <c r="V435" s="74"/>
      <c r="W435" s="6">
        <f>'CLIENT ENROLLMENT DISCHARGE '!M435</f>
        <v>0</v>
      </c>
      <c r="X435" s="76"/>
      <c r="Y435" s="180"/>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O436+AUG!P436</f>
        <v>0</v>
      </c>
      <c r="Q436" s="60"/>
      <c r="R436" s="52"/>
      <c r="S436" s="66"/>
      <c r="T436" s="65"/>
      <c r="U436" s="68"/>
      <c r="V436" s="59"/>
      <c r="W436" s="6">
        <f>'CLIENT ENROLLMENT DISCHARGE '!M436</f>
        <v>0</v>
      </c>
      <c r="X436" s="76"/>
      <c r="Y436" s="180"/>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O437+AUG!P437</f>
        <v>0</v>
      </c>
      <c r="Q437" s="59"/>
      <c r="R437" s="51"/>
      <c r="S437" s="65"/>
      <c r="T437" s="64"/>
      <c r="U437" s="67"/>
      <c r="V437" s="74"/>
      <c r="W437" s="6">
        <f>'CLIENT ENROLLMENT DISCHARGE '!M437</f>
        <v>0</v>
      </c>
      <c r="X437" s="76"/>
      <c r="Y437" s="180"/>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O438+AUG!P438</f>
        <v>0</v>
      </c>
      <c r="Q438" s="60"/>
      <c r="R438" s="52"/>
      <c r="S438" s="66"/>
      <c r="T438" s="65"/>
      <c r="U438" s="68"/>
      <c r="V438" s="59"/>
      <c r="W438" s="6">
        <f>'CLIENT ENROLLMENT DISCHARGE '!M438</f>
        <v>0</v>
      </c>
      <c r="X438" s="76"/>
      <c r="Y438" s="180"/>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O439+AUG!P439</f>
        <v>0</v>
      </c>
      <c r="Q439" s="59"/>
      <c r="R439" s="51"/>
      <c r="S439" s="65"/>
      <c r="T439" s="64"/>
      <c r="U439" s="67"/>
      <c r="V439" s="74"/>
      <c r="W439" s="6">
        <f>'CLIENT ENROLLMENT DISCHARGE '!M439</f>
        <v>0</v>
      </c>
      <c r="X439" s="76"/>
      <c r="Y439" s="180"/>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O440+AUG!P440</f>
        <v>0</v>
      </c>
      <c r="Q440" s="60"/>
      <c r="R440" s="52"/>
      <c r="S440" s="66"/>
      <c r="T440" s="65"/>
      <c r="U440" s="68"/>
      <c r="V440" s="75"/>
      <c r="W440" s="6">
        <f>'CLIENT ENROLLMENT DISCHARGE '!M440</f>
        <v>0</v>
      </c>
      <c r="X440" s="76"/>
      <c r="Y440" s="180"/>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O441+AUG!P441</f>
        <v>0</v>
      </c>
      <c r="Q441" s="59"/>
      <c r="R441" s="51"/>
      <c r="S441" s="65"/>
      <c r="T441" s="64"/>
      <c r="U441" s="67"/>
      <c r="V441" s="74"/>
      <c r="W441" s="6">
        <f>'CLIENT ENROLLMENT DISCHARGE '!M441</f>
        <v>0</v>
      </c>
      <c r="X441" s="76"/>
      <c r="Y441" s="180"/>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O442+AUG!P442</f>
        <v>0</v>
      </c>
      <c r="Q442" s="60"/>
      <c r="R442" s="52"/>
      <c r="S442" s="66"/>
      <c r="T442" s="65"/>
      <c r="U442" s="68"/>
      <c r="V442" s="59"/>
      <c r="W442" s="6">
        <f>'CLIENT ENROLLMENT DISCHARGE '!M442</f>
        <v>0</v>
      </c>
      <c r="X442" s="76"/>
      <c r="Y442" s="180"/>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O443+AUG!P443</f>
        <v>0</v>
      </c>
      <c r="Q443" s="59"/>
      <c r="R443" s="51"/>
      <c r="S443" s="65"/>
      <c r="T443" s="64"/>
      <c r="U443" s="67"/>
      <c r="V443" s="74"/>
      <c r="W443" s="6">
        <f>'CLIENT ENROLLMENT DISCHARGE '!M443</f>
        <v>0</v>
      </c>
      <c r="X443" s="76"/>
      <c r="Y443" s="180"/>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O444+AUG!P444</f>
        <v>0</v>
      </c>
      <c r="Q444" s="60"/>
      <c r="R444" s="52"/>
      <c r="S444" s="66"/>
      <c r="T444" s="65"/>
      <c r="U444" s="68"/>
      <c r="V444" s="59"/>
      <c r="W444" s="6">
        <f>'CLIENT ENROLLMENT DISCHARGE '!M444</f>
        <v>0</v>
      </c>
      <c r="X444" s="76"/>
      <c r="Y444" s="180"/>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O445+AUG!P445</f>
        <v>0</v>
      </c>
      <c r="Q445" s="59"/>
      <c r="R445" s="51"/>
      <c r="S445" s="65"/>
      <c r="T445" s="64"/>
      <c r="U445" s="67"/>
      <c r="V445" s="74"/>
      <c r="W445" s="6">
        <f>'CLIENT ENROLLMENT DISCHARGE '!M445</f>
        <v>0</v>
      </c>
      <c r="X445" s="76"/>
      <c r="Y445" s="180"/>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O446+AUG!P446</f>
        <v>0</v>
      </c>
      <c r="Q446" s="60"/>
      <c r="R446" s="52"/>
      <c r="S446" s="66"/>
      <c r="T446" s="65"/>
      <c r="U446" s="68"/>
      <c r="V446" s="59"/>
      <c r="W446" s="6">
        <f>'CLIENT ENROLLMENT DISCHARGE '!M446</f>
        <v>0</v>
      </c>
      <c r="X446" s="76"/>
      <c r="Y446" s="180"/>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O447+AUG!P447</f>
        <v>0</v>
      </c>
      <c r="Q447" s="59"/>
      <c r="R447" s="51"/>
      <c r="S447" s="65"/>
      <c r="T447" s="64"/>
      <c r="U447" s="67"/>
      <c r="V447" s="74"/>
      <c r="W447" s="6">
        <f>'CLIENT ENROLLMENT DISCHARGE '!M447</f>
        <v>0</v>
      </c>
      <c r="X447" s="76"/>
      <c r="Y447" s="180"/>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O448+AUG!P448</f>
        <v>0</v>
      </c>
      <c r="Q448" s="60"/>
      <c r="R448" s="52"/>
      <c r="S448" s="66"/>
      <c r="T448" s="65"/>
      <c r="U448" s="68"/>
      <c r="V448" s="59"/>
      <c r="W448" s="6">
        <f>'CLIENT ENROLLMENT DISCHARGE '!M448</f>
        <v>0</v>
      </c>
      <c r="X448" s="76"/>
      <c r="Y448" s="180"/>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O449+AUG!P449</f>
        <v>0</v>
      </c>
      <c r="Q449" s="59"/>
      <c r="R449" s="51"/>
      <c r="S449" s="65"/>
      <c r="T449" s="64"/>
      <c r="U449" s="67"/>
      <c r="V449" s="74"/>
      <c r="W449" s="6">
        <f>'CLIENT ENROLLMENT DISCHARGE '!M449</f>
        <v>0</v>
      </c>
      <c r="X449" s="76"/>
      <c r="Y449" s="180"/>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O450+AUG!P450</f>
        <v>0</v>
      </c>
      <c r="Q450" s="60"/>
      <c r="R450" s="52"/>
      <c r="S450" s="66"/>
      <c r="T450" s="65"/>
      <c r="U450" s="68"/>
      <c r="V450" s="75"/>
      <c r="W450" s="6">
        <f>'CLIENT ENROLLMENT DISCHARGE '!M450</f>
        <v>0</v>
      </c>
      <c r="X450" s="76"/>
      <c r="Y450" s="180"/>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O451+AUG!P451</f>
        <v>0</v>
      </c>
      <c r="Q451" s="59"/>
      <c r="R451" s="51"/>
      <c r="S451" s="65"/>
      <c r="T451" s="64"/>
      <c r="U451" s="67"/>
      <c r="V451" s="74"/>
      <c r="W451" s="6">
        <f>'CLIENT ENROLLMENT DISCHARGE '!M451</f>
        <v>0</v>
      </c>
      <c r="X451" s="76"/>
      <c r="Y451" s="180"/>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O452+AUG!P452</f>
        <v>0</v>
      </c>
      <c r="Q452" s="60"/>
      <c r="R452" s="52"/>
      <c r="S452" s="66"/>
      <c r="T452" s="65"/>
      <c r="U452" s="68"/>
      <c r="V452" s="59"/>
      <c r="W452" s="6">
        <f>'CLIENT ENROLLMENT DISCHARGE '!M452</f>
        <v>0</v>
      </c>
      <c r="X452" s="76"/>
      <c r="Y452" s="180"/>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O453+AUG!P453</f>
        <v>0</v>
      </c>
      <c r="Q453" s="59"/>
      <c r="R453" s="51"/>
      <c r="S453" s="65"/>
      <c r="T453" s="64"/>
      <c r="U453" s="67"/>
      <c r="V453" s="74"/>
      <c r="W453" s="6">
        <f>'CLIENT ENROLLMENT DISCHARGE '!M453</f>
        <v>0</v>
      </c>
      <c r="X453" s="76"/>
      <c r="Y453" s="180"/>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O454+AUG!P454</f>
        <v>0</v>
      </c>
      <c r="Q454" s="60"/>
      <c r="R454" s="52"/>
      <c r="S454" s="66"/>
      <c r="T454" s="65"/>
      <c r="U454" s="68"/>
      <c r="V454" s="59"/>
      <c r="W454" s="6">
        <f>'CLIENT ENROLLMENT DISCHARGE '!M454</f>
        <v>0</v>
      </c>
      <c r="X454" s="76"/>
      <c r="Y454" s="180"/>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O455+AUG!P455</f>
        <v>0</v>
      </c>
      <c r="Q455" s="59"/>
      <c r="R455" s="51"/>
      <c r="S455" s="65"/>
      <c r="T455" s="64"/>
      <c r="U455" s="67"/>
      <c r="V455" s="74"/>
      <c r="W455" s="6">
        <f>'CLIENT ENROLLMENT DISCHARGE '!M455</f>
        <v>0</v>
      </c>
      <c r="X455" s="76"/>
      <c r="Y455" s="180"/>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O456+AUG!P456</f>
        <v>0</v>
      </c>
      <c r="Q456" s="60"/>
      <c r="R456" s="52"/>
      <c r="S456" s="66"/>
      <c r="T456" s="65"/>
      <c r="U456" s="68"/>
      <c r="V456" s="59"/>
      <c r="W456" s="6">
        <f>'CLIENT ENROLLMENT DISCHARGE '!M456</f>
        <v>0</v>
      </c>
      <c r="X456" s="76"/>
      <c r="Y456" s="180"/>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O457+AUG!P457</f>
        <v>0</v>
      </c>
      <c r="Q457" s="59"/>
      <c r="R457" s="51"/>
      <c r="S457" s="65"/>
      <c r="T457" s="64"/>
      <c r="U457" s="67"/>
      <c r="V457" s="74"/>
      <c r="W457" s="6">
        <f>'CLIENT ENROLLMENT DISCHARGE '!M457</f>
        <v>0</v>
      </c>
      <c r="X457" s="76"/>
      <c r="Y457" s="180"/>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O458+AUG!P458</f>
        <v>0</v>
      </c>
      <c r="Q458" s="60"/>
      <c r="R458" s="52"/>
      <c r="S458" s="66"/>
      <c r="T458" s="65"/>
      <c r="U458" s="68"/>
      <c r="V458" s="59"/>
      <c r="W458" s="6">
        <f>'CLIENT ENROLLMENT DISCHARGE '!M458</f>
        <v>0</v>
      </c>
      <c r="X458" s="76"/>
      <c r="Y458" s="180"/>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O459+AUG!P459</f>
        <v>0</v>
      </c>
      <c r="Q459" s="59"/>
      <c r="R459" s="51"/>
      <c r="S459" s="65"/>
      <c r="T459" s="64"/>
      <c r="U459" s="67"/>
      <c r="V459" s="74"/>
      <c r="W459" s="6">
        <f>'CLIENT ENROLLMENT DISCHARGE '!M459</f>
        <v>0</v>
      </c>
      <c r="X459" s="76"/>
      <c r="Y459" s="180"/>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O460+AUG!P460</f>
        <v>0</v>
      </c>
      <c r="Q460" s="60"/>
      <c r="R460" s="52"/>
      <c r="S460" s="66"/>
      <c r="T460" s="65"/>
      <c r="U460" s="68"/>
      <c r="V460" s="75"/>
      <c r="W460" s="6">
        <f>'CLIENT ENROLLMENT DISCHARGE '!M460</f>
        <v>0</v>
      </c>
      <c r="X460" s="76"/>
      <c r="Y460" s="180"/>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O461+AUG!P461</f>
        <v>0</v>
      </c>
      <c r="Q461" s="59"/>
      <c r="R461" s="51"/>
      <c r="S461" s="65"/>
      <c r="T461" s="64"/>
      <c r="U461" s="67"/>
      <c r="V461" s="74"/>
      <c r="W461" s="6">
        <f>'CLIENT ENROLLMENT DISCHARGE '!M461</f>
        <v>0</v>
      </c>
      <c r="X461" s="76"/>
      <c r="Y461" s="180"/>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O462+AUG!P462</f>
        <v>0</v>
      </c>
      <c r="Q462" s="60"/>
      <c r="R462" s="52"/>
      <c r="S462" s="66"/>
      <c r="T462" s="65"/>
      <c r="U462" s="68"/>
      <c r="V462" s="59"/>
      <c r="W462" s="6">
        <f>'CLIENT ENROLLMENT DISCHARGE '!M462</f>
        <v>0</v>
      </c>
      <c r="X462" s="76"/>
      <c r="Y462" s="180"/>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O463+AUG!P463</f>
        <v>0</v>
      </c>
      <c r="Q463" s="59"/>
      <c r="R463" s="51"/>
      <c r="S463" s="65"/>
      <c r="T463" s="64"/>
      <c r="U463" s="67"/>
      <c r="V463" s="74"/>
      <c r="W463" s="6">
        <f>'CLIENT ENROLLMENT DISCHARGE '!M463</f>
        <v>0</v>
      </c>
      <c r="X463" s="76"/>
      <c r="Y463" s="180"/>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O464+AUG!P464</f>
        <v>0</v>
      </c>
      <c r="Q464" s="60"/>
      <c r="R464" s="52"/>
      <c r="S464" s="66"/>
      <c r="T464" s="65"/>
      <c r="U464" s="68"/>
      <c r="V464" s="59"/>
      <c r="W464" s="6">
        <f>'CLIENT ENROLLMENT DISCHARGE '!M464</f>
        <v>0</v>
      </c>
      <c r="X464" s="76"/>
      <c r="Y464" s="180"/>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O465+AUG!P465</f>
        <v>0</v>
      </c>
      <c r="Q465" s="59"/>
      <c r="R465" s="51"/>
      <c r="S465" s="65"/>
      <c r="T465" s="64"/>
      <c r="U465" s="67"/>
      <c r="V465" s="74"/>
      <c r="W465" s="6">
        <f>'CLIENT ENROLLMENT DISCHARGE '!M465</f>
        <v>0</v>
      </c>
      <c r="X465" s="76"/>
      <c r="Y465" s="180"/>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O466+AUG!P466</f>
        <v>0</v>
      </c>
      <c r="Q466" s="60"/>
      <c r="R466" s="52"/>
      <c r="S466" s="66"/>
      <c r="T466" s="65"/>
      <c r="U466" s="68"/>
      <c r="V466" s="59"/>
      <c r="W466" s="6">
        <f>'CLIENT ENROLLMENT DISCHARGE '!M466</f>
        <v>0</v>
      </c>
      <c r="X466" s="76"/>
      <c r="Y466" s="180"/>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O467+AUG!P467</f>
        <v>0</v>
      </c>
      <c r="Q467" s="59"/>
      <c r="R467" s="51"/>
      <c r="S467" s="65"/>
      <c r="T467" s="64"/>
      <c r="U467" s="67"/>
      <c r="V467" s="74"/>
      <c r="W467" s="6">
        <f>'CLIENT ENROLLMENT DISCHARGE '!M467</f>
        <v>0</v>
      </c>
      <c r="X467" s="76"/>
      <c r="Y467" s="180"/>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O468+AUG!P468</f>
        <v>0</v>
      </c>
      <c r="Q468" s="60"/>
      <c r="R468" s="52"/>
      <c r="S468" s="66"/>
      <c r="T468" s="65"/>
      <c r="U468" s="68"/>
      <c r="V468" s="59"/>
      <c r="W468" s="6">
        <f>'CLIENT ENROLLMENT DISCHARGE '!M468</f>
        <v>0</v>
      </c>
      <c r="X468" s="76"/>
      <c r="Y468" s="180"/>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O469+AUG!P469</f>
        <v>0</v>
      </c>
      <c r="Q469" s="59"/>
      <c r="R469" s="51"/>
      <c r="S469" s="65"/>
      <c r="T469" s="64"/>
      <c r="U469" s="67"/>
      <c r="V469" s="74"/>
      <c r="W469" s="6">
        <f>'CLIENT ENROLLMENT DISCHARGE '!M469</f>
        <v>0</v>
      </c>
      <c r="X469" s="76"/>
      <c r="Y469" s="180"/>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O470+AUG!P470</f>
        <v>0</v>
      </c>
      <c r="Q470" s="60"/>
      <c r="R470" s="52"/>
      <c r="S470" s="66"/>
      <c r="T470" s="65"/>
      <c r="U470" s="68"/>
      <c r="V470" s="75"/>
      <c r="W470" s="6">
        <f>'CLIENT ENROLLMENT DISCHARGE '!M470</f>
        <v>0</v>
      </c>
      <c r="X470" s="76"/>
      <c r="Y470" s="180"/>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O471+AUG!P471</f>
        <v>0</v>
      </c>
      <c r="Q471" s="59"/>
      <c r="R471" s="51"/>
      <c r="S471" s="65"/>
      <c r="T471" s="64"/>
      <c r="U471" s="67"/>
      <c r="V471" s="74"/>
      <c r="W471" s="6">
        <f>'CLIENT ENROLLMENT DISCHARGE '!M471</f>
        <v>0</v>
      </c>
      <c r="X471" s="76"/>
      <c r="Y471" s="180"/>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O472+AUG!P472</f>
        <v>0</v>
      </c>
      <c r="Q472" s="60"/>
      <c r="R472" s="52"/>
      <c r="S472" s="66"/>
      <c r="T472" s="65"/>
      <c r="U472" s="68"/>
      <c r="V472" s="59"/>
      <c r="W472" s="6">
        <f>'CLIENT ENROLLMENT DISCHARGE '!M472</f>
        <v>0</v>
      </c>
      <c r="X472" s="76"/>
      <c r="Y472" s="180"/>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O473+AUG!P473</f>
        <v>0</v>
      </c>
      <c r="Q473" s="59"/>
      <c r="R473" s="51"/>
      <c r="S473" s="65"/>
      <c r="T473" s="64"/>
      <c r="U473" s="67"/>
      <c r="V473" s="74"/>
      <c r="W473" s="6">
        <f>'CLIENT ENROLLMENT DISCHARGE '!M473</f>
        <v>0</v>
      </c>
      <c r="X473" s="76"/>
      <c r="Y473" s="180"/>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O474+AUG!P474</f>
        <v>0</v>
      </c>
      <c r="Q474" s="60"/>
      <c r="R474" s="52"/>
      <c r="S474" s="66"/>
      <c r="T474" s="65"/>
      <c r="U474" s="68"/>
      <c r="V474" s="59"/>
      <c r="W474" s="6">
        <f>'CLIENT ENROLLMENT DISCHARGE '!M474</f>
        <v>0</v>
      </c>
      <c r="X474" s="76"/>
      <c r="Y474" s="180"/>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O475+AUG!P475</f>
        <v>0</v>
      </c>
      <c r="Q475" s="59"/>
      <c r="R475" s="51"/>
      <c r="S475" s="65"/>
      <c r="T475" s="64"/>
      <c r="U475" s="67"/>
      <c r="V475" s="74"/>
      <c r="W475" s="6">
        <f>'CLIENT ENROLLMENT DISCHARGE '!M475</f>
        <v>0</v>
      </c>
      <c r="X475" s="76"/>
      <c r="Y475" s="180"/>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O476+AUG!P476</f>
        <v>0</v>
      </c>
      <c r="Q476" s="60"/>
      <c r="R476" s="52"/>
      <c r="S476" s="66"/>
      <c r="T476" s="65"/>
      <c r="U476" s="68"/>
      <c r="V476" s="59"/>
      <c r="W476" s="6">
        <f>'CLIENT ENROLLMENT DISCHARGE '!M476</f>
        <v>0</v>
      </c>
      <c r="X476" s="76"/>
      <c r="Y476" s="180"/>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O477+AUG!P477</f>
        <v>0</v>
      </c>
      <c r="Q477" s="59"/>
      <c r="R477" s="51"/>
      <c r="S477" s="65"/>
      <c r="T477" s="64"/>
      <c r="U477" s="67"/>
      <c r="V477" s="74"/>
      <c r="W477" s="6">
        <f>'CLIENT ENROLLMENT DISCHARGE '!M477</f>
        <v>0</v>
      </c>
      <c r="X477" s="76"/>
      <c r="Y477" s="180"/>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O478+AUG!P478</f>
        <v>0</v>
      </c>
      <c r="Q478" s="60"/>
      <c r="R478" s="52"/>
      <c r="S478" s="66"/>
      <c r="T478" s="65"/>
      <c r="U478" s="68"/>
      <c r="V478" s="59"/>
      <c r="W478" s="6">
        <f>'CLIENT ENROLLMENT DISCHARGE '!M478</f>
        <v>0</v>
      </c>
      <c r="X478" s="76"/>
      <c r="Y478" s="180"/>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O479+AUG!P479</f>
        <v>0</v>
      </c>
      <c r="Q479" s="59"/>
      <c r="R479" s="51"/>
      <c r="S479" s="65"/>
      <c r="T479" s="64"/>
      <c r="U479" s="67"/>
      <c r="V479" s="74"/>
      <c r="W479" s="6">
        <f>'CLIENT ENROLLMENT DISCHARGE '!M479</f>
        <v>0</v>
      </c>
      <c r="X479" s="76"/>
      <c r="Y479" s="180"/>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O480+AUG!P480</f>
        <v>0</v>
      </c>
      <c r="Q480" s="60"/>
      <c r="R480" s="52"/>
      <c r="S480" s="66"/>
      <c r="T480" s="65"/>
      <c r="U480" s="68"/>
      <c r="V480" s="75"/>
      <c r="W480" s="6">
        <f>'CLIENT ENROLLMENT DISCHARGE '!M480</f>
        <v>0</v>
      </c>
      <c r="X480" s="76"/>
      <c r="Y480" s="180"/>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O481+AUG!P481</f>
        <v>0</v>
      </c>
      <c r="Q481" s="59"/>
      <c r="R481" s="51"/>
      <c r="S481" s="65"/>
      <c r="T481" s="64"/>
      <c r="U481" s="67"/>
      <c r="V481" s="74"/>
      <c r="W481" s="6">
        <f>'CLIENT ENROLLMENT DISCHARGE '!M481</f>
        <v>0</v>
      </c>
      <c r="X481" s="76"/>
      <c r="Y481" s="180"/>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O482+AUG!P482</f>
        <v>0</v>
      </c>
      <c r="Q482" s="60"/>
      <c r="R482" s="52"/>
      <c r="S482" s="66"/>
      <c r="T482" s="65"/>
      <c r="U482" s="68"/>
      <c r="V482" s="59"/>
      <c r="W482" s="6">
        <f>'CLIENT ENROLLMENT DISCHARGE '!M482</f>
        <v>0</v>
      </c>
      <c r="X482" s="76"/>
      <c r="Y482" s="180"/>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O483+AUG!P483</f>
        <v>0</v>
      </c>
      <c r="Q483" s="59"/>
      <c r="R483" s="51"/>
      <c r="S483" s="65"/>
      <c r="T483" s="64"/>
      <c r="U483" s="67"/>
      <c r="V483" s="74"/>
      <c r="W483" s="6">
        <f>'CLIENT ENROLLMENT DISCHARGE '!M483</f>
        <v>0</v>
      </c>
      <c r="X483" s="76"/>
      <c r="Y483" s="180"/>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O484+AUG!P484</f>
        <v>0</v>
      </c>
      <c r="Q484" s="60"/>
      <c r="R484" s="52"/>
      <c r="S484" s="66"/>
      <c r="T484" s="65"/>
      <c r="U484" s="68"/>
      <c r="V484" s="59"/>
      <c r="W484" s="6">
        <f>'CLIENT ENROLLMENT DISCHARGE '!M484</f>
        <v>0</v>
      </c>
      <c r="X484" s="76"/>
      <c r="Y484" s="180"/>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O485+AUG!P485</f>
        <v>0</v>
      </c>
      <c r="Q485" s="59"/>
      <c r="R485" s="51"/>
      <c r="S485" s="65"/>
      <c r="T485" s="64"/>
      <c r="U485" s="67"/>
      <c r="V485" s="74"/>
      <c r="W485" s="6">
        <f>'CLIENT ENROLLMENT DISCHARGE '!M485</f>
        <v>0</v>
      </c>
      <c r="X485" s="76"/>
      <c r="Y485" s="180"/>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O486+AUG!P486</f>
        <v>0</v>
      </c>
      <c r="Q486" s="60"/>
      <c r="R486" s="52"/>
      <c r="S486" s="66"/>
      <c r="T486" s="65"/>
      <c r="U486" s="68"/>
      <c r="V486" s="59"/>
      <c r="W486" s="6">
        <f>'CLIENT ENROLLMENT DISCHARGE '!M486</f>
        <v>0</v>
      </c>
      <c r="X486" s="76"/>
      <c r="Y486" s="180"/>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O487+AUG!P487</f>
        <v>0</v>
      </c>
      <c r="Q487" s="59"/>
      <c r="R487" s="51"/>
      <c r="S487" s="65"/>
      <c r="T487" s="64"/>
      <c r="U487" s="67"/>
      <c r="V487" s="74"/>
      <c r="W487" s="6">
        <f>'CLIENT ENROLLMENT DISCHARGE '!M487</f>
        <v>0</v>
      </c>
      <c r="X487" s="76"/>
      <c r="Y487" s="180"/>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O488+AUG!P488</f>
        <v>0</v>
      </c>
      <c r="Q488" s="60"/>
      <c r="R488" s="52"/>
      <c r="S488" s="66"/>
      <c r="T488" s="65"/>
      <c r="U488" s="68"/>
      <c r="V488" s="59"/>
      <c r="W488" s="6">
        <f>'CLIENT ENROLLMENT DISCHARGE '!M488</f>
        <v>0</v>
      </c>
      <c r="X488" s="76"/>
      <c r="Y488" s="180"/>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O489+AUG!P489</f>
        <v>0</v>
      </c>
      <c r="Q489" s="59"/>
      <c r="R489" s="51"/>
      <c r="S489" s="65"/>
      <c r="T489" s="64"/>
      <c r="U489" s="67"/>
      <c r="V489" s="74"/>
      <c r="W489" s="6">
        <f>'CLIENT ENROLLMENT DISCHARGE '!M489</f>
        <v>0</v>
      </c>
      <c r="X489" s="76"/>
      <c r="Y489" s="180"/>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O490+AUG!P490</f>
        <v>0</v>
      </c>
      <c r="Q490" s="60"/>
      <c r="R490" s="52"/>
      <c r="S490" s="66"/>
      <c r="T490" s="65"/>
      <c r="U490" s="68"/>
      <c r="V490" s="75"/>
      <c r="W490" s="6">
        <f>'CLIENT ENROLLMENT DISCHARGE '!M490</f>
        <v>0</v>
      </c>
      <c r="X490" s="76"/>
      <c r="Y490" s="180"/>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O491+AUG!P491</f>
        <v>0</v>
      </c>
      <c r="Q491" s="59"/>
      <c r="R491" s="51"/>
      <c r="S491" s="65"/>
      <c r="T491" s="64"/>
      <c r="U491" s="67"/>
      <c r="V491" s="74"/>
      <c r="W491" s="6">
        <f>'CLIENT ENROLLMENT DISCHARGE '!M491</f>
        <v>0</v>
      </c>
      <c r="X491" s="76"/>
      <c r="Y491" s="180"/>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O492+AUG!P492</f>
        <v>0</v>
      </c>
      <c r="Q492" s="60"/>
      <c r="R492" s="52"/>
      <c r="S492" s="66"/>
      <c r="T492" s="65"/>
      <c r="U492" s="68"/>
      <c r="V492" s="59"/>
      <c r="W492" s="6">
        <f>'CLIENT ENROLLMENT DISCHARGE '!M492</f>
        <v>0</v>
      </c>
      <c r="X492" s="76"/>
      <c r="Y492" s="180"/>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O493+AUG!P493</f>
        <v>0</v>
      </c>
      <c r="Q493" s="59"/>
      <c r="R493" s="51"/>
      <c r="S493" s="65"/>
      <c r="T493" s="64"/>
      <c r="U493" s="67"/>
      <c r="V493" s="74"/>
      <c r="W493" s="6">
        <f>'CLIENT ENROLLMENT DISCHARGE '!M493</f>
        <v>0</v>
      </c>
      <c r="X493" s="76"/>
      <c r="Y493" s="180"/>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O494+AUG!P494</f>
        <v>0</v>
      </c>
      <c r="Q494" s="60"/>
      <c r="R494" s="52"/>
      <c r="S494" s="66"/>
      <c r="T494" s="65"/>
      <c r="U494" s="68"/>
      <c r="V494" s="59"/>
      <c r="W494" s="6">
        <f>'CLIENT ENROLLMENT DISCHARGE '!M494</f>
        <v>0</v>
      </c>
      <c r="X494" s="76"/>
      <c r="Y494" s="180"/>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O495+AUG!P495</f>
        <v>0</v>
      </c>
      <c r="Q495" s="59"/>
      <c r="R495" s="51"/>
      <c r="S495" s="65"/>
      <c r="T495" s="64"/>
      <c r="U495" s="67"/>
      <c r="V495" s="74"/>
      <c r="W495" s="6">
        <f>'CLIENT ENROLLMENT DISCHARGE '!M495</f>
        <v>0</v>
      </c>
      <c r="X495" s="76"/>
      <c r="Y495" s="180"/>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O496+AUG!P496</f>
        <v>0</v>
      </c>
      <c r="Q496" s="60"/>
      <c r="R496" s="52"/>
      <c r="S496" s="66"/>
      <c r="T496" s="65"/>
      <c r="U496" s="68"/>
      <c r="V496" s="59"/>
      <c r="W496" s="6">
        <f>'CLIENT ENROLLMENT DISCHARGE '!M496</f>
        <v>0</v>
      </c>
      <c r="X496" s="76"/>
      <c r="Y496" s="180"/>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O497+AUG!P497</f>
        <v>0</v>
      </c>
      <c r="Q497" s="59"/>
      <c r="R497" s="51"/>
      <c r="S497" s="65"/>
      <c r="T497" s="64"/>
      <c r="U497" s="67"/>
      <c r="V497" s="74"/>
      <c r="W497" s="6">
        <f>'CLIENT ENROLLMENT DISCHARGE '!M497</f>
        <v>0</v>
      </c>
      <c r="X497" s="76"/>
      <c r="Y497" s="180"/>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O498+AUG!P498</f>
        <v>0</v>
      </c>
      <c r="Q498" s="60"/>
      <c r="R498" s="52"/>
      <c r="S498" s="66"/>
      <c r="T498" s="65"/>
      <c r="U498" s="68"/>
      <c r="V498" s="59"/>
      <c r="W498" s="6">
        <f>'CLIENT ENROLLMENT DISCHARGE '!M498</f>
        <v>0</v>
      </c>
      <c r="X498" s="76"/>
      <c r="Y498" s="180"/>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O499+AUG!P499</f>
        <v>0</v>
      </c>
      <c r="Q499" s="59"/>
      <c r="R499" s="51"/>
      <c r="S499" s="65"/>
      <c r="T499" s="64"/>
      <c r="U499" s="67"/>
      <c r="V499" s="74"/>
      <c r="W499" s="6">
        <f>'CLIENT ENROLLMENT DISCHARGE '!M499</f>
        <v>0</v>
      </c>
      <c r="X499" s="76"/>
      <c r="Y499" s="180"/>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O500+AUG!P500</f>
        <v>0</v>
      </c>
      <c r="Q500" s="60"/>
      <c r="R500" s="52"/>
      <c r="S500" s="66"/>
      <c r="T500" s="65"/>
      <c r="U500" s="68"/>
      <c r="V500" s="75"/>
      <c r="W500" s="6">
        <f>'CLIENT ENROLLMENT DISCHARGE '!M500</f>
        <v>0</v>
      </c>
      <c r="X500" s="76"/>
      <c r="Y500" s="180"/>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O501+AUG!P501</f>
        <v>0</v>
      </c>
      <c r="Q501" s="59"/>
      <c r="R501" s="51"/>
      <c r="S501" s="65"/>
      <c r="T501" s="64"/>
      <c r="U501" s="67"/>
      <c r="V501" s="74"/>
      <c r="W501" s="6">
        <f>'CLIENT ENROLLMENT DISCHARGE '!M501</f>
        <v>0</v>
      </c>
      <c r="X501" s="76"/>
      <c r="Y501" s="180"/>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O502+AUG!P502</f>
        <v>0</v>
      </c>
      <c r="Q502" s="60"/>
      <c r="R502" s="52"/>
      <c r="S502" s="66"/>
      <c r="T502" s="65"/>
      <c r="U502" s="68"/>
      <c r="V502" s="59"/>
      <c r="W502" s="6">
        <f>'CLIENT ENROLLMENT DISCHARGE '!M502</f>
        <v>0</v>
      </c>
      <c r="X502" s="76"/>
      <c r="Y502" s="180"/>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O503+AUG!P503</f>
        <v>0</v>
      </c>
      <c r="Q503" s="59"/>
      <c r="R503" s="51"/>
      <c r="S503" s="65"/>
      <c r="T503" s="64"/>
      <c r="U503" s="67"/>
      <c r="V503" s="74"/>
      <c r="W503" s="6">
        <f>'CLIENT ENROLLMENT DISCHARGE '!M503</f>
        <v>0</v>
      </c>
      <c r="X503" s="76"/>
      <c r="Y503" s="180"/>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O504+AUG!P504</f>
        <v>0</v>
      </c>
      <c r="Q504" s="60"/>
      <c r="R504" s="52"/>
      <c r="S504" s="66"/>
      <c r="T504" s="65"/>
      <c r="U504" s="68"/>
      <c r="V504" s="59"/>
      <c r="W504" s="6">
        <f>'CLIENT ENROLLMENT DISCHARGE '!M504</f>
        <v>0</v>
      </c>
      <c r="X504" s="76"/>
      <c r="Y504" s="180"/>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O505+AUG!P505</f>
        <v>0</v>
      </c>
      <c r="Q505" s="59"/>
      <c r="R505" s="51"/>
      <c r="S505" s="65"/>
      <c r="T505" s="64"/>
      <c r="U505" s="67"/>
      <c r="V505" s="74"/>
      <c r="W505" s="6">
        <f>'CLIENT ENROLLMENT DISCHARGE '!M505</f>
        <v>0</v>
      </c>
      <c r="X505" s="76"/>
      <c r="Y505" s="180"/>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O506+AUG!P506</f>
        <v>0</v>
      </c>
      <c r="Q506" s="60"/>
      <c r="R506" s="52"/>
      <c r="S506" s="66"/>
      <c r="T506" s="65"/>
      <c r="U506" s="68"/>
      <c r="V506" s="59"/>
      <c r="W506" s="6">
        <f>'CLIENT ENROLLMENT DISCHARGE '!M506</f>
        <v>0</v>
      </c>
      <c r="X506" s="76"/>
      <c r="Y506" s="180"/>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O507+AUG!P507</f>
        <v>0</v>
      </c>
      <c r="Q507" s="59"/>
      <c r="R507" s="51"/>
      <c r="S507" s="65"/>
      <c r="T507" s="64"/>
      <c r="U507" s="67"/>
      <c r="V507" s="74"/>
      <c r="W507" s="6">
        <f>'CLIENT ENROLLMENT DISCHARGE '!M507</f>
        <v>0</v>
      </c>
      <c r="X507" s="76"/>
      <c r="Y507" s="180"/>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O508+AUG!P508</f>
        <v>0</v>
      </c>
      <c r="Q508" s="60"/>
      <c r="R508" s="52"/>
      <c r="S508" s="66"/>
      <c r="T508" s="65"/>
      <c r="U508" s="68"/>
      <c r="V508" s="59"/>
      <c r="W508" s="6">
        <f>'CLIENT ENROLLMENT DISCHARGE '!M508</f>
        <v>0</v>
      </c>
      <c r="X508" s="76"/>
      <c r="Y508" s="180"/>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O509+AUG!P509</f>
        <v>0</v>
      </c>
      <c r="Q509" s="59"/>
      <c r="R509" s="51"/>
      <c r="S509" s="65"/>
      <c r="T509" s="64"/>
      <c r="U509" s="67"/>
      <c r="V509" s="74"/>
      <c r="W509" s="6">
        <f>'CLIENT ENROLLMENT DISCHARGE '!M509</f>
        <v>0</v>
      </c>
      <c r="X509" s="76"/>
      <c r="Y509" s="180"/>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O510+AUG!P510</f>
        <v>0</v>
      </c>
      <c r="Q510" s="60"/>
      <c r="R510" s="52"/>
      <c r="S510" s="66"/>
      <c r="T510" s="65"/>
      <c r="U510" s="68"/>
      <c r="V510" s="75"/>
      <c r="W510" s="6">
        <f>'CLIENT ENROLLMENT DISCHARGE '!M510</f>
        <v>0</v>
      </c>
      <c r="X510" s="76"/>
      <c r="Y510" s="180"/>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O511+AUG!P511</f>
        <v>0</v>
      </c>
      <c r="Q511" s="59"/>
      <c r="R511" s="51"/>
      <c r="S511" s="65"/>
      <c r="T511" s="64"/>
      <c r="U511" s="67"/>
      <c r="V511" s="74"/>
      <c r="W511" s="6">
        <f>'CLIENT ENROLLMENT DISCHARGE '!M511</f>
        <v>0</v>
      </c>
      <c r="X511" s="76"/>
      <c r="Y511" s="180"/>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O512+AUG!P512</f>
        <v>0</v>
      </c>
      <c r="Q512" s="60"/>
      <c r="R512" s="52"/>
      <c r="S512" s="66"/>
      <c r="T512" s="65"/>
      <c r="U512" s="68"/>
      <c r="V512" s="59"/>
      <c r="W512" s="6">
        <f>'CLIENT ENROLLMENT DISCHARGE '!M512</f>
        <v>0</v>
      </c>
      <c r="X512" s="76"/>
      <c r="Y512" s="180"/>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O513+AUG!P513</f>
        <v>0</v>
      </c>
      <c r="Q513" s="59"/>
      <c r="R513" s="51"/>
      <c r="S513" s="65"/>
      <c r="T513" s="64"/>
      <c r="U513" s="67"/>
      <c r="V513" s="74"/>
      <c r="W513" s="6">
        <f>'CLIENT ENROLLMENT DISCHARGE '!M513</f>
        <v>0</v>
      </c>
      <c r="X513" s="76"/>
      <c r="Y513" s="180"/>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O514+AUG!P514</f>
        <v>0</v>
      </c>
      <c r="Q514" s="60"/>
      <c r="R514" s="52"/>
      <c r="S514" s="66"/>
      <c r="T514" s="65"/>
      <c r="U514" s="68"/>
      <c r="V514" s="59"/>
      <c r="W514" s="6">
        <f>'CLIENT ENROLLMENT DISCHARGE '!M514</f>
        <v>0</v>
      </c>
      <c r="X514" s="76"/>
      <c r="Y514" s="180"/>
    </row>
  </sheetData>
  <sheetProtection algorithmName="SHA-512" hashValue="JdImp4TAlZxPJ7m5CeUcVlzTpHt1f7qj/5H1kdu5PBl/vTMzLhVt9JIBFaZjT0or+OXZa69NEF0aq0HH0e6iIA==" saltValue="xe+9nRrgimvKKx4Pwt3JQQ=="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35" priority="2">
      <formula>$W15="YES"</formula>
    </cfRule>
  </conditionalFormatting>
  <conditionalFormatting sqref="A15:X514">
    <cfRule type="expression" dxfId="34" priority="1">
      <formula>$X15="YES"</formula>
    </cfRule>
  </conditionalFormatting>
  <conditionalFormatting sqref="H15:I514">
    <cfRule type="expression" dxfId="33" priority="8">
      <formula>$H15="Other (Specify) "</formula>
    </cfRule>
  </conditionalFormatting>
  <dataValidations count="4">
    <dataValidation allowBlank="1" showInputMessage="1" showErrorMessage="1" prompt="Use MM/DD/YYYY format.  Leave blank until date is needed. " sqref="J15:J514" xr:uid="{00000000-0002-0000-0600-000000000000}"/>
    <dataValidation allowBlank="1" showInputMessage="1" showErrorMessage="1" prompt="will auto populate" sqref="W15:W514" xr:uid="{00000000-0002-0000-0600-000001000000}"/>
    <dataValidation allowBlank="1" showInputMessage="1" showErrorMessage="1" prompt="Note Section for Column H" sqref="I15:I514" xr:uid="{00000000-0002-0000-0600-000002000000}"/>
    <dataValidation allowBlank="1" showInputMessage="1" showErrorMessage="1" prompt="auto populates" sqref="B15:C514" xr:uid="{00000000-0002-0000-06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4000000}">
          <x14:formula1>
            <xm:f>'drop down list '!$A$3:$A$4</xm:f>
          </x14:formula1>
          <xm:sqref>D15:G514 L15:L514 R15:R514</xm:sqref>
        </x14:dataValidation>
        <x14:dataValidation type="list" allowBlank="1" showInputMessage="1" showErrorMessage="1" xr:uid="{00000000-0002-0000-0600-000005000000}">
          <x14:formula1>
            <xm:f>'drop down list '!$C$2:$C$4</xm:f>
          </x14:formula1>
          <xm:sqref>H15:H514</xm:sqref>
        </x14:dataValidation>
        <x14:dataValidation type="list" allowBlank="1" showInputMessage="1" showErrorMessage="1" xr:uid="{00000000-0002-0000-0600-000006000000}">
          <x14:formula1>
            <xm:f>'drop down list '!$A$21:$A$23</xm:f>
          </x14:formula1>
          <xm:sqref>Q15:Q514</xm:sqref>
        </x14:dataValidation>
        <x14:dataValidation type="list" allowBlank="1" showInputMessage="1" showErrorMessage="1" xr:uid="{00000000-0002-0000-0600-000007000000}">
          <x14:formula1>
            <xm:f>'drop down list '!$G$24:$G$29</xm:f>
          </x14:formula1>
          <xm:sqref>U15:U514</xm:sqref>
        </x14:dataValidation>
        <x14:dataValidation type="list" allowBlank="1" showInputMessage="1" showErrorMessage="1" xr:uid="{00000000-0002-0000-0600-000008000000}">
          <x14:formula1>
            <xm:f>'drop down list '!$G$14:$G$18</xm:f>
          </x14:formula1>
          <xm:sqref>V15:V514</xm:sqref>
        </x14:dataValidation>
        <x14:dataValidation type="list" allowBlank="1" showInputMessage="1" showErrorMessage="1" xr:uid="{00000000-0002-0000-0600-000009000000}">
          <x14:formula1>
            <xm:f>'drop down list '!$N$12:$N$23</xm:f>
          </x14:formula1>
          <xm:sqref>E9:F9</xm:sqref>
        </x14:dataValidation>
        <x14:dataValidation type="list" allowBlank="1" showInputMessage="1" showErrorMessage="1" xr:uid="{00000000-0002-0000-0600-00000A000000}">
          <x14:formula1>
            <xm:f>'drop down list '!$P$15:$P$20</xm:f>
          </x14:formula1>
          <xm:sqref>G9:I9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Y514"/>
  <sheetViews>
    <sheetView topLeftCell="J1" zoomScale="110" zoomScaleNormal="110" workbookViewId="0">
      <pane ySplit="1" topLeftCell="A509" activePane="bottomLeft" state="frozen"/>
      <selection pane="bottomLeft" activeCell="W16" sqref="W16:W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75</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44</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v>1</v>
      </c>
      <c r="B15" s="10">
        <f>'CLIENT ENROLLMENT DISCHARGE '!B15</f>
        <v>0</v>
      </c>
      <c r="C15" s="4">
        <f>'CLIENT ENROLLMENT DISCHARGE '!C15</f>
        <v>0</v>
      </c>
      <c r="D15" s="51"/>
      <c r="E15" s="52"/>
      <c r="F15" s="51"/>
      <c r="G15" s="52"/>
      <c r="H15" s="62"/>
      <c r="I15" s="115"/>
      <c r="J15" s="9"/>
      <c r="K15" s="70"/>
      <c r="L15" s="52"/>
      <c r="M15" s="8"/>
      <c r="N15" s="7"/>
      <c r="O15" s="218">
        <f>K15*N15</f>
        <v>0</v>
      </c>
      <c r="P15" s="218">
        <f>O15+SEPT!P15</f>
        <v>0</v>
      </c>
      <c r="Q15" s="59"/>
      <c r="R15" s="51"/>
      <c r="S15" s="65"/>
      <c r="T15" s="64"/>
      <c r="U15" s="67"/>
      <c r="V15" s="74"/>
      <c r="W15" s="6">
        <f>'CLIENT ENROLLMENT DISCHARGE '!M15</f>
        <v>0</v>
      </c>
      <c r="X15" s="76">
        <f>'CLIENT ENROLLMENT DISCHARGE '!L15</f>
        <v>0</v>
      </c>
      <c r="Y15" s="180" t="s">
        <v>0</v>
      </c>
    </row>
    <row r="16" spans="1:25" ht="50.1" customHeight="1" x14ac:dyDescent="0.25">
      <c r="A16" s="5">
        <v>2</v>
      </c>
      <c r="B16" s="10">
        <f>'CLIENT ENROLLMENT DISCHARGE '!B16</f>
        <v>0</v>
      </c>
      <c r="C16" s="4">
        <f>'CLIENT ENROLLMENT DISCHARGE '!C16</f>
        <v>0</v>
      </c>
      <c r="D16" s="52"/>
      <c r="E16" s="53"/>
      <c r="F16" s="52"/>
      <c r="G16" s="53"/>
      <c r="H16" s="63"/>
      <c r="I16" s="116"/>
      <c r="J16" s="3"/>
      <c r="K16" s="71"/>
      <c r="L16" s="53"/>
      <c r="M16" s="2"/>
      <c r="N16" s="1"/>
      <c r="O16" s="218">
        <f t="shared" ref="O16:O79" si="0">K16*N16</f>
        <v>0</v>
      </c>
      <c r="P16" s="218">
        <f>O16+SEPT!P16</f>
        <v>0</v>
      </c>
      <c r="Q16" s="60"/>
      <c r="R16" s="52"/>
      <c r="S16" s="66"/>
      <c r="T16" s="65"/>
      <c r="U16" s="68"/>
      <c r="V16" s="59"/>
      <c r="W16" s="6">
        <f>'CLIENT ENROLLMENT DISCHARGE '!M16</f>
        <v>0</v>
      </c>
      <c r="X16" s="76">
        <f>'CLIENT ENROLLMENT DISCHARGE '!L16</f>
        <v>0</v>
      </c>
      <c r="Y16" s="180" t="s">
        <v>0</v>
      </c>
    </row>
    <row r="17" spans="1:25" ht="50.1" customHeight="1" x14ac:dyDescent="0.25">
      <c r="A17" s="5">
        <v>3</v>
      </c>
      <c r="B17" s="10">
        <f>'CLIENT ENROLLMENT DISCHARGE '!B17</f>
        <v>0</v>
      </c>
      <c r="C17" s="4">
        <f>'CLIENT ENROLLMENT DISCHARGE '!C17</f>
        <v>0</v>
      </c>
      <c r="D17" s="51"/>
      <c r="E17" s="52"/>
      <c r="F17" s="51"/>
      <c r="G17" s="52"/>
      <c r="H17" s="62"/>
      <c r="I17" s="115"/>
      <c r="J17" s="9"/>
      <c r="K17" s="70"/>
      <c r="L17" s="52"/>
      <c r="M17" s="8"/>
      <c r="N17" s="7"/>
      <c r="O17" s="218">
        <f t="shared" si="0"/>
        <v>0</v>
      </c>
      <c r="P17" s="218">
        <f>O17+SEPT!P17</f>
        <v>0</v>
      </c>
      <c r="Q17" s="59"/>
      <c r="R17" s="51"/>
      <c r="S17" s="65"/>
      <c r="T17" s="64"/>
      <c r="U17" s="67"/>
      <c r="V17" s="74"/>
      <c r="W17" s="6">
        <f>'CLIENT ENROLLMENT DISCHARGE '!M17</f>
        <v>0</v>
      </c>
      <c r="X17" s="76">
        <f>'CLIENT ENROLLMENT DISCHARGE '!L17</f>
        <v>0</v>
      </c>
      <c r="Y17" s="180" t="s">
        <v>0</v>
      </c>
    </row>
    <row r="18" spans="1:25" ht="50.1" customHeight="1" x14ac:dyDescent="0.25">
      <c r="A18" s="5">
        <v>4</v>
      </c>
      <c r="B18" s="10">
        <f>'CLIENT ENROLLMENT DISCHARGE '!B18</f>
        <v>0</v>
      </c>
      <c r="C18" s="4">
        <f>'CLIENT ENROLLMENT DISCHARGE '!C18</f>
        <v>0</v>
      </c>
      <c r="D18" s="52"/>
      <c r="E18" s="53"/>
      <c r="F18" s="52"/>
      <c r="G18" s="53"/>
      <c r="H18" s="63"/>
      <c r="I18" s="116"/>
      <c r="J18" s="3"/>
      <c r="K18" s="71"/>
      <c r="L18" s="53"/>
      <c r="M18" s="2"/>
      <c r="N18" s="1"/>
      <c r="O18" s="218">
        <f t="shared" si="0"/>
        <v>0</v>
      </c>
      <c r="P18" s="218">
        <f>O18+SEPT!P18</f>
        <v>0</v>
      </c>
      <c r="Q18" s="60"/>
      <c r="R18" s="52"/>
      <c r="S18" s="66"/>
      <c r="T18" s="65"/>
      <c r="U18" s="68"/>
      <c r="V18" s="59"/>
      <c r="W18" s="6">
        <f>'CLIENT ENROLLMENT DISCHARGE '!M18</f>
        <v>0</v>
      </c>
      <c r="X18" s="76">
        <f>'CLIENT ENROLLMENT DISCHARGE '!L18</f>
        <v>0</v>
      </c>
      <c r="Y18" s="180" t="s">
        <v>0</v>
      </c>
    </row>
    <row r="19" spans="1:25" ht="50.1" customHeight="1" x14ac:dyDescent="0.25">
      <c r="A19" s="5">
        <v>5</v>
      </c>
      <c r="B19" s="10">
        <f>'CLIENT ENROLLMENT DISCHARGE '!B19</f>
        <v>0</v>
      </c>
      <c r="C19" s="4">
        <f>'CLIENT ENROLLMENT DISCHARGE '!C19</f>
        <v>0</v>
      </c>
      <c r="D19" s="51"/>
      <c r="E19" s="52"/>
      <c r="F19" s="51"/>
      <c r="G19" s="52"/>
      <c r="H19" s="62"/>
      <c r="I19" s="115"/>
      <c r="J19" s="9"/>
      <c r="K19" s="70"/>
      <c r="L19" s="52"/>
      <c r="M19" s="8"/>
      <c r="N19" s="7"/>
      <c r="O19" s="218">
        <f t="shared" si="0"/>
        <v>0</v>
      </c>
      <c r="P19" s="218">
        <f>O19+SEPT!P19</f>
        <v>0</v>
      </c>
      <c r="Q19" s="59"/>
      <c r="R19" s="51"/>
      <c r="S19" s="65"/>
      <c r="T19" s="64"/>
      <c r="U19" s="67"/>
      <c r="V19" s="74"/>
      <c r="W19" s="6">
        <f>'CLIENT ENROLLMENT DISCHARGE '!M19</f>
        <v>0</v>
      </c>
      <c r="X19" s="76">
        <f>'CLIENT ENROLLMENT DISCHARGE '!L19</f>
        <v>0</v>
      </c>
      <c r="Y19" s="180" t="s">
        <v>0</v>
      </c>
    </row>
    <row r="20" spans="1:25" ht="50.1" customHeight="1" x14ac:dyDescent="0.25">
      <c r="A20" s="5">
        <v>6</v>
      </c>
      <c r="B20" s="10">
        <f>'CLIENT ENROLLMENT DISCHARGE '!B20</f>
        <v>0</v>
      </c>
      <c r="C20" s="4">
        <f>'CLIENT ENROLLMENT DISCHARGE '!C20</f>
        <v>0</v>
      </c>
      <c r="D20" s="52"/>
      <c r="E20" s="53"/>
      <c r="F20" s="52"/>
      <c r="G20" s="53"/>
      <c r="H20" s="63"/>
      <c r="I20" s="116"/>
      <c r="J20" s="3"/>
      <c r="K20" s="71"/>
      <c r="L20" s="53"/>
      <c r="M20" s="2"/>
      <c r="N20" s="1"/>
      <c r="O20" s="218">
        <f t="shared" si="0"/>
        <v>0</v>
      </c>
      <c r="P20" s="218">
        <f>O20+SEPT!P20</f>
        <v>0</v>
      </c>
      <c r="Q20" s="60"/>
      <c r="R20" s="52"/>
      <c r="S20" s="66"/>
      <c r="T20" s="65"/>
      <c r="U20" s="68"/>
      <c r="V20" s="75"/>
      <c r="W20" s="6">
        <f>'CLIENT ENROLLMENT DISCHARGE '!M20</f>
        <v>0</v>
      </c>
      <c r="X20" s="76">
        <f>'CLIENT ENROLLMENT DISCHARGE '!L20</f>
        <v>0</v>
      </c>
      <c r="Y20" s="180" t="s">
        <v>0</v>
      </c>
    </row>
    <row r="21" spans="1:25" ht="50.1" customHeight="1" x14ac:dyDescent="0.25">
      <c r="A21" s="5">
        <v>7</v>
      </c>
      <c r="B21" s="10">
        <f>'CLIENT ENROLLMENT DISCHARGE '!B21</f>
        <v>0</v>
      </c>
      <c r="C21" s="4">
        <f>'CLIENT ENROLLMENT DISCHARGE '!C21</f>
        <v>0</v>
      </c>
      <c r="D21" s="51"/>
      <c r="E21" s="52"/>
      <c r="F21" s="51"/>
      <c r="G21" s="52"/>
      <c r="H21" s="62"/>
      <c r="I21" s="115"/>
      <c r="J21" s="9"/>
      <c r="K21" s="70"/>
      <c r="L21" s="52"/>
      <c r="M21" s="8"/>
      <c r="N21" s="7"/>
      <c r="O21" s="218">
        <f t="shared" si="0"/>
        <v>0</v>
      </c>
      <c r="P21" s="218">
        <f>O21+SEPT!P21</f>
        <v>0</v>
      </c>
      <c r="Q21" s="59"/>
      <c r="R21" s="51"/>
      <c r="S21" s="65"/>
      <c r="T21" s="64"/>
      <c r="U21" s="67"/>
      <c r="V21" s="74"/>
      <c r="W21" s="6">
        <f>'CLIENT ENROLLMENT DISCHARGE '!M21</f>
        <v>0</v>
      </c>
      <c r="X21" s="76">
        <f>'CLIENT ENROLLMENT DISCHARGE '!L21</f>
        <v>0</v>
      </c>
      <c r="Y21" s="180" t="s">
        <v>0</v>
      </c>
    </row>
    <row r="22" spans="1:25" ht="50.1" customHeight="1" x14ac:dyDescent="0.25">
      <c r="A22" s="5">
        <v>8</v>
      </c>
      <c r="B22" s="10">
        <f>'CLIENT ENROLLMENT DISCHARGE '!B22</f>
        <v>0</v>
      </c>
      <c r="C22" s="4">
        <f>'CLIENT ENROLLMENT DISCHARGE '!C22</f>
        <v>0</v>
      </c>
      <c r="D22" s="52"/>
      <c r="E22" s="53"/>
      <c r="F22" s="52"/>
      <c r="G22" s="53"/>
      <c r="H22" s="63"/>
      <c r="I22" s="116"/>
      <c r="J22" s="3"/>
      <c r="K22" s="71"/>
      <c r="L22" s="53"/>
      <c r="M22" s="2"/>
      <c r="N22" s="1"/>
      <c r="O22" s="218">
        <f t="shared" si="0"/>
        <v>0</v>
      </c>
      <c r="P22" s="218">
        <f>O22+SEPT!P22</f>
        <v>0</v>
      </c>
      <c r="Q22" s="60"/>
      <c r="R22" s="52"/>
      <c r="S22" s="66"/>
      <c r="T22" s="65"/>
      <c r="U22" s="68"/>
      <c r="V22" s="59"/>
      <c r="W22" s="6">
        <f>'CLIENT ENROLLMENT DISCHARGE '!M22</f>
        <v>0</v>
      </c>
      <c r="X22" s="76">
        <f>'CLIENT ENROLLMENT DISCHARGE '!L22</f>
        <v>0</v>
      </c>
      <c r="Y22" s="180" t="s">
        <v>0</v>
      </c>
    </row>
    <row r="23" spans="1:25" ht="50.1" customHeight="1" x14ac:dyDescent="0.25">
      <c r="A23" s="5">
        <v>9</v>
      </c>
      <c r="B23" s="10">
        <f>'CLIENT ENROLLMENT DISCHARGE '!B23</f>
        <v>0</v>
      </c>
      <c r="C23" s="4">
        <f>'CLIENT ENROLLMENT DISCHARGE '!C23</f>
        <v>0</v>
      </c>
      <c r="D23" s="51"/>
      <c r="E23" s="52"/>
      <c r="F23" s="51"/>
      <c r="G23" s="52"/>
      <c r="H23" s="62"/>
      <c r="I23" s="115"/>
      <c r="J23" s="9"/>
      <c r="K23" s="70"/>
      <c r="L23" s="52"/>
      <c r="M23" s="8"/>
      <c r="N23" s="7"/>
      <c r="O23" s="218">
        <f t="shared" si="0"/>
        <v>0</v>
      </c>
      <c r="P23" s="218">
        <f>O23+SEPT!P23</f>
        <v>0</v>
      </c>
      <c r="Q23" s="59"/>
      <c r="R23" s="51"/>
      <c r="S23" s="65"/>
      <c r="T23" s="64"/>
      <c r="U23" s="67"/>
      <c r="V23" s="74"/>
      <c r="W23" s="6">
        <f>'CLIENT ENROLLMENT DISCHARGE '!M23</f>
        <v>0</v>
      </c>
      <c r="X23" s="76">
        <f>'CLIENT ENROLLMENT DISCHARGE '!L23</f>
        <v>0</v>
      </c>
      <c r="Y23" s="180" t="s">
        <v>0</v>
      </c>
    </row>
    <row r="24" spans="1:25" ht="50.1" customHeight="1" x14ac:dyDescent="0.25">
      <c r="A24" s="5">
        <v>10</v>
      </c>
      <c r="B24" s="10">
        <f>'CLIENT ENROLLMENT DISCHARGE '!B24</f>
        <v>0</v>
      </c>
      <c r="C24" s="4">
        <f>'CLIENT ENROLLMENT DISCHARGE '!C24</f>
        <v>0</v>
      </c>
      <c r="D24" s="52"/>
      <c r="E24" s="53"/>
      <c r="F24" s="52"/>
      <c r="G24" s="53"/>
      <c r="H24" s="63"/>
      <c r="I24" s="116"/>
      <c r="J24" s="144"/>
      <c r="K24" s="71"/>
      <c r="L24" s="53"/>
      <c r="M24" s="2"/>
      <c r="N24" s="1"/>
      <c r="O24" s="218">
        <f t="shared" si="0"/>
        <v>0</v>
      </c>
      <c r="P24" s="218">
        <f>O24+SEPT!P24</f>
        <v>0</v>
      </c>
      <c r="Q24" s="60"/>
      <c r="R24" s="52"/>
      <c r="S24" s="66"/>
      <c r="T24" s="65"/>
      <c r="U24" s="68"/>
      <c r="V24" s="59"/>
      <c r="W24" s="6">
        <f>'CLIENT ENROLLMENT DISCHARGE '!M24</f>
        <v>0</v>
      </c>
      <c r="X24" s="76">
        <f>'CLIENT ENROLLMENT DISCHARGE '!L24</f>
        <v>0</v>
      </c>
      <c r="Y24" s="180" t="s">
        <v>0</v>
      </c>
    </row>
    <row r="25" spans="1:25" ht="50.1" customHeight="1" x14ac:dyDescent="0.25">
      <c r="A25" s="5">
        <v>11</v>
      </c>
      <c r="B25" s="10">
        <f>'CLIENT ENROLLMENT DISCHARGE '!B25</f>
        <v>0</v>
      </c>
      <c r="C25" s="4">
        <f>'CLIENT ENROLLMENT DISCHARGE '!C25</f>
        <v>0</v>
      </c>
      <c r="D25" s="51"/>
      <c r="E25" s="52"/>
      <c r="F25" s="51"/>
      <c r="G25" s="52"/>
      <c r="H25" s="62"/>
      <c r="I25" s="115"/>
      <c r="J25" s="143"/>
      <c r="K25" s="70"/>
      <c r="L25" s="52"/>
      <c r="M25" s="8"/>
      <c r="N25" s="7"/>
      <c r="O25" s="218">
        <f t="shared" si="0"/>
        <v>0</v>
      </c>
      <c r="P25" s="218">
        <f>O25+SEPT!P25</f>
        <v>0</v>
      </c>
      <c r="Q25" s="59"/>
      <c r="R25" s="51"/>
      <c r="S25" s="65"/>
      <c r="T25" s="64"/>
      <c r="U25" s="67"/>
      <c r="V25" s="74"/>
      <c r="W25" s="6">
        <f>'CLIENT ENROLLMENT DISCHARGE '!M25</f>
        <v>0</v>
      </c>
      <c r="X25" s="76">
        <f>'CLIENT ENROLLMENT DISCHARGE '!L25</f>
        <v>0</v>
      </c>
      <c r="Y25" s="180" t="s">
        <v>0</v>
      </c>
    </row>
    <row r="26" spans="1:25" ht="50.1" customHeight="1" x14ac:dyDescent="0.25">
      <c r="A26" s="5">
        <v>12</v>
      </c>
      <c r="B26" s="10">
        <f>'CLIENT ENROLLMENT DISCHARGE '!B26</f>
        <v>0</v>
      </c>
      <c r="C26" s="4">
        <f>'CLIENT ENROLLMENT DISCHARGE '!C26</f>
        <v>0</v>
      </c>
      <c r="D26" s="52"/>
      <c r="E26" s="53"/>
      <c r="F26" s="52"/>
      <c r="G26" s="53"/>
      <c r="H26" s="63"/>
      <c r="I26" s="116"/>
      <c r="J26" s="144"/>
      <c r="K26" s="71"/>
      <c r="L26" s="53"/>
      <c r="M26" s="2"/>
      <c r="N26" s="1"/>
      <c r="O26" s="218">
        <f t="shared" si="0"/>
        <v>0</v>
      </c>
      <c r="P26" s="218">
        <f>O26+SEPT!P26</f>
        <v>0</v>
      </c>
      <c r="Q26" s="60"/>
      <c r="R26" s="52"/>
      <c r="S26" s="66"/>
      <c r="T26" s="65"/>
      <c r="U26" s="68"/>
      <c r="V26" s="59"/>
      <c r="W26" s="6">
        <f>'CLIENT ENROLLMENT DISCHARGE '!M26</f>
        <v>0</v>
      </c>
      <c r="X26" s="76">
        <f>'CLIENT ENROLLMENT DISCHARGE '!L26</f>
        <v>0</v>
      </c>
      <c r="Y26" s="180" t="s">
        <v>0</v>
      </c>
    </row>
    <row r="27" spans="1:25" ht="50.1" customHeight="1" x14ac:dyDescent="0.25">
      <c r="A27" s="5">
        <v>13</v>
      </c>
      <c r="B27" s="10">
        <f>'CLIENT ENROLLMENT DISCHARGE '!B27</f>
        <v>0</v>
      </c>
      <c r="C27" s="4">
        <f>'CLIENT ENROLLMENT DISCHARGE '!C27</f>
        <v>0</v>
      </c>
      <c r="D27" s="51"/>
      <c r="E27" s="52"/>
      <c r="F27" s="51"/>
      <c r="G27" s="52"/>
      <c r="H27" s="62"/>
      <c r="I27" s="115"/>
      <c r="J27" s="143"/>
      <c r="K27" s="70"/>
      <c r="L27" s="52"/>
      <c r="M27" s="8"/>
      <c r="N27" s="7"/>
      <c r="O27" s="218">
        <f t="shared" si="0"/>
        <v>0</v>
      </c>
      <c r="P27" s="218">
        <f>O27+SEPT!P27</f>
        <v>0</v>
      </c>
      <c r="Q27" s="59"/>
      <c r="R27" s="51"/>
      <c r="S27" s="65"/>
      <c r="T27" s="64"/>
      <c r="U27" s="67"/>
      <c r="V27" s="74"/>
      <c r="W27" s="6">
        <f>'CLIENT ENROLLMENT DISCHARGE '!M27</f>
        <v>0</v>
      </c>
      <c r="X27" s="76">
        <f>'CLIENT ENROLLMENT DISCHARGE '!L27</f>
        <v>0</v>
      </c>
      <c r="Y27" s="180" t="s">
        <v>0</v>
      </c>
    </row>
    <row r="28" spans="1:25" ht="50.1" customHeight="1" x14ac:dyDescent="0.25">
      <c r="A28" s="5">
        <v>14</v>
      </c>
      <c r="B28" s="10">
        <f>'CLIENT ENROLLMENT DISCHARGE '!B28</f>
        <v>0</v>
      </c>
      <c r="C28" s="4">
        <f>'CLIENT ENROLLMENT DISCHARGE '!C28</f>
        <v>0</v>
      </c>
      <c r="D28" s="52"/>
      <c r="E28" s="53"/>
      <c r="F28" s="52"/>
      <c r="G28" s="53"/>
      <c r="H28" s="63"/>
      <c r="I28" s="116"/>
      <c r="J28" s="3"/>
      <c r="K28" s="71"/>
      <c r="L28" s="53"/>
      <c r="M28" s="2"/>
      <c r="N28" s="1"/>
      <c r="O28" s="218">
        <f t="shared" si="0"/>
        <v>0</v>
      </c>
      <c r="P28" s="218">
        <f>O28+SEPT!P28</f>
        <v>0</v>
      </c>
      <c r="Q28" s="60"/>
      <c r="R28" s="52"/>
      <c r="S28" s="66"/>
      <c r="T28" s="65"/>
      <c r="U28" s="68"/>
      <c r="V28" s="59"/>
      <c r="W28" s="6">
        <f>'CLIENT ENROLLMENT DISCHARGE '!M28</f>
        <v>0</v>
      </c>
      <c r="X28" s="76">
        <f>'CLIENT ENROLLMENT DISCHARGE '!L28</f>
        <v>0</v>
      </c>
      <c r="Y28" s="180" t="s">
        <v>0</v>
      </c>
    </row>
    <row r="29" spans="1:25" ht="50.1" customHeight="1" x14ac:dyDescent="0.25">
      <c r="A29" s="5">
        <v>15</v>
      </c>
      <c r="B29" s="10">
        <f>'CLIENT ENROLLMENT DISCHARGE '!B29</f>
        <v>0</v>
      </c>
      <c r="C29" s="4">
        <f>'CLIENT ENROLLMENT DISCHARGE '!C29</f>
        <v>0</v>
      </c>
      <c r="D29" s="51"/>
      <c r="E29" s="52"/>
      <c r="F29" s="51"/>
      <c r="G29" s="52"/>
      <c r="H29" s="62"/>
      <c r="I29" s="115"/>
      <c r="J29" s="9"/>
      <c r="K29" s="70"/>
      <c r="L29" s="52"/>
      <c r="M29" s="8"/>
      <c r="N29" s="7"/>
      <c r="O29" s="218">
        <f t="shared" si="0"/>
        <v>0</v>
      </c>
      <c r="P29" s="218">
        <f>O29+SEPT!P29</f>
        <v>0</v>
      </c>
      <c r="Q29" s="59"/>
      <c r="R29" s="51"/>
      <c r="S29" s="65"/>
      <c r="T29" s="64"/>
      <c r="U29" s="67"/>
      <c r="V29" s="74"/>
      <c r="W29" s="6">
        <f>'CLIENT ENROLLMENT DISCHARGE '!M29</f>
        <v>0</v>
      </c>
      <c r="X29" s="76">
        <f>'CLIENT ENROLLMENT DISCHARGE '!L29</f>
        <v>0</v>
      </c>
      <c r="Y29" s="180" t="s">
        <v>0</v>
      </c>
    </row>
    <row r="30" spans="1:25" ht="50.1" customHeight="1" x14ac:dyDescent="0.25">
      <c r="A30" s="5">
        <v>16</v>
      </c>
      <c r="B30" s="10">
        <f>'CLIENT ENROLLMENT DISCHARGE '!B30</f>
        <v>0</v>
      </c>
      <c r="C30" s="4">
        <f>'CLIENT ENROLLMENT DISCHARGE '!C30</f>
        <v>0</v>
      </c>
      <c r="D30" s="52"/>
      <c r="E30" s="53"/>
      <c r="F30" s="52"/>
      <c r="G30" s="53"/>
      <c r="H30" s="63"/>
      <c r="I30" s="116"/>
      <c r="J30" s="3"/>
      <c r="K30" s="71"/>
      <c r="L30" s="53"/>
      <c r="M30" s="2"/>
      <c r="N30" s="1"/>
      <c r="O30" s="218">
        <f t="shared" si="0"/>
        <v>0</v>
      </c>
      <c r="P30" s="218">
        <f>O30+SEPT!P30</f>
        <v>0</v>
      </c>
      <c r="Q30" s="60"/>
      <c r="R30" s="52"/>
      <c r="S30" s="66"/>
      <c r="T30" s="65"/>
      <c r="U30" s="68"/>
      <c r="V30" s="75"/>
      <c r="W30" s="6">
        <f>'CLIENT ENROLLMENT DISCHARGE '!M30</f>
        <v>0</v>
      </c>
      <c r="X30" s="76">
        <f>'CLIENT ENROLLMENT DISCHARGE '!L30</f>
        <v>0</v>
      </c>
      <c r="Y30" s="180" t="s">
        <v>0</v>
      </c>
    </row>
    <row r="31" spans="1:25" ht="50.1" customHeight="1" x14ac:dyDescent="0.25">
      <c r="A31" s="5">
        <v>17</v>
      </c>
      <c r="B31" s="10">
        <f>'CLIENT ENROLLMENT DISCHARGE '!B31</f>
        <v>0</v>
      </c>
      <c r="C31" s="4">
        <f>'CLIENT ENROLLMENT DISCHARGE '!C31</f>
        <v>0</v>
      </c>
      <c r="D31" s="51"/>
      <c r="E31" s="52"/>
      <c r="F31" s="51"/>
      <c r="G31" s="52"/>
      <c r="H31" s="62"/>
      <c r="I31" s="115"/>
      <c r="J31" s="9"/>
      <c r="K31" s="70"/>
      <c r="L31" s="52"/>
      <c r="M31" s="8"/>
      <c r="N31" s="7"/>
      <c r="O31" s="218">
        <f t="shared" si="0"/>
        <v>0</v>
      </c>
      <c r="P31" s="218">
        <f>O31+SEPT!P31</f>
        <v>0</v>
      </c>
      <c r="Q31" s="59"/>
      <c r="R31" s="51"/>
      <c r="S31" s="65"/>
      <c r="T31" s="64"/>
      <c r="U31" s="67"/>
      <c r="V31" s="74"/>
      <c r="W31" s="6">
        <f>'CLIENT ENROLLMENT DISCHARGE '!M31</f>
        <v>0</v>
      </c>
      <c r="X31" s="76">
        <f>'CLIENT ENROLLMENT DISCHARGE '!L31</f>
        <v>0</v>
      </c>
      <c r="Y31" s="180" t="s">
        <v>0</v>
      </c>
    </row>
    <row r="32" spans="1:25" ht="50.1" customHeight="1" x14ac:dyDescent="0.25">
      <c r="A32" s="5">
        <v>18</v>
      </c>
      <c r="B32" s="10">
        <f>'CLIENT ENROLLMENT DISCHARGE '!B32</f>
        <v>0</v>
      </c>
      <c r="C32" s="4">
        <f>'CLIENT ENROLLMENT DISCHARGE '!C32</f>
        <v>0</v>
      </c>
      <c r="D32" s="52"/>
      <c r="E32" s="53"/>
      <c r="F32" s="52"/>
      <c r="G32" s="53"/>
      <c r="H32" s="63"/>
      <c r="I32" s="116"/>
      <c r="J32" s="3"/>
      <c r="K32" s="71"/>
      <c r="L32" s="53"/>
      <c r="M32" s="2"/>
      <c r="N32" s="1"/>
      <c r="O32" s="218">
        <f t="shared" si="0"/>
        <v>0</v>
      </c>
      <c r="P32" s="218">
        <f>O32+SEPT!P32</f>
        <v>0</v>
      </c>
      <c r="Q32" s="60"/>
      <c r="R32" s="52"/>
      <c r="S32" s="66"/>
      <c r="T32" s="65"/>
      <c r="U32" s="68"/>
      <c r="V32" s="59"/>
      <c r="W32" s="6">
        <f>'CLIENT ENROLLMENT DISCHARGE '!M32</f>
        <v>0</v>
      </c>
      <c r="X32" s="76">
        <f>'CLIENT ENROLLMENT DISCHARGE '!L32</f>
        <v>0</v>
      </c>
      <c r="Y32" s="180" t="s">
        <v>0</v>
      </c>
    </row>
    <row r="33" spans="1:25" ht="50.1" customHeight="1" x14ac:dyDescent="0.25">
      <c r="A33" s="5">
        <v>19</v>
      </c>
      <c r="B33" s="10">
        <f>'CLIENT ENROLLMENT DISCHARGE '!B33</f>
        <v>0</v>
      </c>
      <c r="C33" s="4">
        <f>'CLIENT ENROLLMENT DISCHARGE '!C33</f>
        <v>0</v>
      </c>
      <c r="D33" s="51"/>
      <c r="E33" s="52"/>
      <c r="F33" s="51"/>
      <c r="G33" s="52"/>
      <c r="H33" s="62"/>
      <c r="I33" s="115"/>
      <c r="J33" s="9"/>
      <c r="K33" s="70"/>
      <c r="L33" s="52"/>
      <c r="M33" s="8"/>
      <c r="N33" s="7"/>
      <c r="O33" s="218">
        <f t="shared" si="0"/>
        <v>0</v>
      </c>
      <c r="P33" s="218">
        <f>O33+SEPT!P33</f>
        <v>0</v>
      </c>
      <c r="Q33" s="59"/>
      <c r="R33" s="51"/>
      <c r="S33" s="65"/>
      <c r="T33" s="64"/>
      <c r="U33" s="67"/>
      <c r="V33" s="74"/>
      <c r="W33" s="6">
        <f>'CLIENT ENROLLMENT DISCHARGE '!M33</f>
        <v>0</v>
      </c>
      <c r="X33" s="76">
        <f>'CLIENT ENROLLMENT DISCHARGE '!L33</f>
        <v>0</v>
      </c>
      <c r="Y33" s="180" t="s">
        <v>0</v>
      </c>
    </row>
    <row r="34" spans="1:25" ht="50.1" customHeight="1" x14ac:dyDescent="0.25">
      <c r="A34" s="5">
        <v>20</v>
      </c>
      <c r="B34" s="10">
        <f>'CLIENT ENROLLMENT DISCHARGE '!B34</f>
        <v>0</v>
      </c>
      <c r="C34" s="4">
        <f>'CLIENT ENROLLMENT DISCHARGE '!C34</f>
        <v>0</v>
      </c>
      <c r="D34" s="52"/>
      <c r="E34" s="53"/>
      <c r="F34" s="52"/>
      <c r="G34" s="53"/>
      <c r="H34" s="63"/>
      <c r="I34" s="116"/>
      <c r="J34" s="144"/>
      <c r="K34" s="71"/>
      <c r="L34" s="53"/>
      <c r="M34" s="2"/>
      <c r="N34" s="1"/>
      <c r="O34" s="218">
        <f t="shared" si="0"/>
        <v>0</v>
      </c>
      <c r="P34" s="218">
        <f>O34+SEPT!P34</f>
        <v>0</v>
      </c>
      <c r="Q34" s="60"/>
      <c r="R34" s="52"/>
      <c r="S34" s="66"/>
      <c r="T34" s="65"/>
      <c r="U34" s="68"/>
      <c r="V34" s="59"/>
      <c r="W34" s="6">
        <f>'CLIENT ENROLLMENT DISCHARGE '!M34</f>
        <v>0</v>
      </c>
      <c r="X34" s="76">
        <f>'CLIENT ENROLLMENT DISCHARGE '!L34</f>
        <v>0</v>
      </c>
      <c r="Y34" s="180" t="s">
        <v>0</v>
      </c>
    </row>
    <row r="35" spans="1:25" ht="50.1" customHeight="1" x14ac:dyDescent="0.25">
      <c r="A35" s="5">
        <v>21</v>
      </c>
      <c r="B35" s="10">
        <f>'CLIENT ENROLLMENT DISCHARGE '!B35</f>
        <v>0</v>
      </c>
      <c r="C35" s="4">
        <f>'CLIENT ENROLLMENT DISCHARGE '!C35</f>
        <v>0</v>
      </c>
      <c r="D35" s="51"/>
      <c r="E35" s="52"/>
      <c r="F35" s="51"/>
      <c r="G35" s="52"/>
      <c r="H35" s="62"/>
      <c r="I35" s="115"/>
      <c r="J35" s="9"/>
      <c r="K35" s="70"/>
      <c r="L35" s="52"/>
      <c r="M35" s="8"/>
      <c r="N35" s="7"/>
      <c r="O35" s="218">
        <f t="shared" si="0"/>
        <v>0</v>
      </c>
      <c r="P35" s="218">
        <f>O35+SEPT!P35</f>
        <v>0</v>
      </c>
      <c r="Q35" s="59"/>
      <c r="R35" s="51"/>
      <c r="S35" s="65"/>
      <c r="T35" s="64"/>
      <c r="U35" s="67"/>
      <c r="V35" s="74"/>
      <c r="W35" s="6">
        <f>'CLIENT ENROLLMENT DISCHARGE '!M35</f>
        <v>0</v>
      </c>
      <c r="X35" s="76">
        <f>'CLIENT ENROLLMENT DISCHARGE '!L35</f>
        <v>0</v>
      </c>
      <c r="Y35" s="180" t="s">
        <v>0</v>
      </c>
    </row>
    <row r="36" spans="1:25" ht="50.1" customHeight="1" x14ac:dyDescent="0.25">
      <c r="A36" s="5">
        <v>22</v>
      </c>
      <c r="B36" s="10">
        <f>'CLIENT ENROLLMENT DISCHARGE '!B36</f>
        <v>0</v>
      </c>
      <c r="C36" s="4">
        <f>'CLIENT ENROLLMENT DISCHARGE '!C36</f>
        <v>0</v>
      </c>
      <c r="D36" s="52"/>
      <c r="E36" s="53"/>
      <c r="F36" s="52"/>
      <c r="G36" s="53"/>
      <c r="H36" s="63"/>
      <c r="I36" s="116"/>
      <c r="J36" s="3"/>
      <c r="K36" s="71"/>
      <c r="L36" s="53"/>
      <c r="M36" s="2"/>
      <c r="N36" s="1"/>
      <c r="O36" s="218">
        <f t="shared" si="0"/>
        <v>0</v>
      </c>
      <c r="P36" s="218">
        <f>O36+SEPT!P36</f>
        <v>0</v>
      </c>
      <c r="Q36" s="60"/>
      <c r="R36" s="52"/>
      <c r="S36" s="66"/>
      <c r="T36" s="65"/>
      <c r="U36" s="68"/>
      <c r="V36" s="59"/>
      <c r="W36" s="6">
        <f>'CLIENT ENROLLMENT DISCHARGE '!M36</f>
        <v>0</v>
      </c>
      <c r="X36" s="76">
        <f>'CLIENT ENROLLMENT DISCHARGE '!L36</f>
        <v>0</v>
      </c>
      <c r="Y36" s="180" t="s">
        <v>0</v>
      </c>
    </row>
    <row r="37" spans="1:25" ht="50.1" customHeight="1" x14ac:dyDescent="0.25">
      <c r="A37" s="5">
        <v>23</v>
      </c>
      <c r="B37" s="10">
        <f>'CLIENT ENROLLMENT DISCHARGE '!B37</f>
        <v>0</v>
      </c>
      <c r="C37" s="4">
        <f>'CLIENT ENROLLMENT DISCHARGE '!C37</f>
        <v>0</v>
      </c>
      <c r="D37" s="51"/>
      <c r="E37" s="52"/>
      <c r="F37" s="51"/>
      <c r="G37" s="52"/>
      <c r="H37" s="62"/>
      <c r="I37" s="115"/>
      <c r="J37" s="9"/>
      <c r="K37" s="70"/>
      <c r="L37" s="52"/>
      <c r="M37" s="8"/>
      <c r="N37" s="7"/>
      <c r="O37" s="218">
        <f t="shared" si="0"/>
        <v>0</v>
      </c>
      <c r="P37" s="218">
        <f>O37+SEPT!P37</f>
        <v>0</v>
      </c>
      <c r="Q37" s="59"/>
      <c r="R37" s="51"/>
      <c r="S37" s="65"/>
      <c r="T37" s="64"/>
      <c r="U37" s="67"/>
      <c r="V37" s="74"/>
      <c r="W37" s="6">
        <f>'CLIENT ENROLLMENT DISCHARGE '!M37</f>
        <v>0</v>
      </c>
      <c r="X37" s="76">
        <f>'CLIENT ENROLLMENT DISCHARGE '!L37</f>
        <v>0</v>
      </c>
      <c r="Y37" s="180" t="s">
        <v>0</v>
      </c>
    </row>
    <row r="38" spans="1:25" ht="50.1" customHeight="1" x14ac:dyDescent="0.25">
      <c r="A38" s="5">
        <v>24</v>
      </c>
      <c r="B38" s="10">
        <f>'CLIENT ENROLLMENT DISCHARGE '!B38</f>
        <v>0</v>
      </c>
      <c r="C38" s="4">
        <f>'CLIENT ENROLLMENT DISCHARGE '!C38</f>
        <v>0</v>
      </c>
      <c r="D38" s="52"/>
      <c r="E38" s="53"/>
      <c r="F38" s="52"/>
      <c r="G38" s="53"/>
      <c r="H38" s="63"/>
      <c r="I38" s="116"/>
      <c r="J38" s="3"/>
      <c r="K38" s="71"/>
      <c r="L38" s="53"/>
      <c r="M38" s="2"/>
      <c r="N38" s="1"/>
      <c r="O38" s="218">
        <f t="shared" si="0"/>
        <v>0</v>
      </c>
      <c r="P38" s="218">
        <f>O38+SEPT!P38</f>
        <v>0</v>
      </c>
      <c r="Q38" s="60"/>
      <c r="R38" s="52"/>
      <c r="S38" s="66"/>
      <c r="T38" s="65"/>
      <c r="U38" s="68"/>
      <c r="V38" s="59"/>
      <c r="W38" s="6">
        <f>'CLIENT ENROLLMENT DISCHARGE '!M38</f>
        <v>0</v>
      </c>
      <c r="X38" s="76">
        <f>'CLIENT ENROLLMENT DISCHARGE '!L38</f>
        <v>0</v>
      </c>
      <c r="Y38" s="180" t="s">
        <v>0</v>
      </c>
    </row>
    <row r="39" spans="1:25" ht="50.1" customHeight="1" x14ac:dyDescent="0.25">
      <c r="A39" s="5">
        <v>25</v>
      </c>
      <c r="B39" s="10">
        <f>'CLIENT ENROLLMENT DISCHARGE '!B39</f>
        <v>0</v>
      </c>
      <c r="C39" s="4">
        <f>'CLIENT ENROLLMENT DISCHARGE '!C39</f>
        <v>0</v>
      </c>
      <c r="D39" s="51"/>
      <c r="E39" s="52"/>
      <c r="F39" s="51"/>
      <c r="G39" s="52"/>
      <c r="H39" s="62"/>
      <c r="I39" s="115"/>
      <c r="J39" s="9"/>
      <c r="K39" s="70"/>
      <c r="L39" s="52"/>
      <c r="M39" s="8"/>
      <c r="N39" s="7"/>
      <c r="O39" s="218">
        <f t="shared" si="0"/>
        <v>0</v>
      </c>
      <c r="P39" s="218">
        <f>O39+SEPT!P39</f>
        <v>0</v>
      </c>
      <c r="Q39" s="59"/>
      <c r="R39" s="51"/>
      <c r="S39" s="65"/>
      <c r="T39" s="64"/>
      <c r="U39" s="67"/>
      <c r="V39" s="74"/>
      <c r="W39" s="6">
        <f>'CLIENT ENROLLMENT DISCHARGE '!M39</f>
        <v>0</v>
      </c>
      <c r="X39" s="76">
        <f>'CLIENT ENROLLMENT DISCHARGE '!L39</f>
        <v>0</v>
      </c>
      <c r="Y39" s="180" t="s">
        <v>0</v>
      </c>
    </row>
    <row r="40" spans="1:25" ht="50.1" customHeight="1" x14ac:dyDescent="0.25">
      <c r="A40" s="5">
        <v>26</v>
      </c>
      <c r="B40" s="10">
        <f>'CLIENT ENROLLMENT DISCHARGE '!B40</f>
        <v>0</v>
      </c>
      <c r="C40" s="4">
        <f>'CLIENT ENROLLMENT DISCHARGE '!C40</f>
        <v>0</v>
      </c>
      <c r="D40" s="52"/>
      <c r="E40" s="53"/>
      <c r="F40" s="52"/>
      <c r="G40" s="53"/>
      <c r="H40" s="63"/>
      <c r="I40" s="116"/>
      <c r="J40" s="3"/>
      <c r="K40" s="71"/>
      <c r="L40" s="53"/>
      <c r="M40" s="2"/>
      <c r="N40" s="1"/>
      <c r="O40" s="218">
        <f t="shared" si="0"/>
        <v>0</v>
      </c>
      <c r="P40" s="218">
        <f>O40+SEPT!P40</f>
        <v>0</v>
      </c>
      <c r="Q40" s="60"/>
      <c r="R40" s="52"/>
      <c r="S40" s="66"/>
      <c r="T40" s="65"/>
      <c r="U40" s="68"/>
      <c r="V40" s="75"/>
      <c r="W40" s="6">
        <f>'CLIENT ENROLLMENT DISCHARGE '!M40</f>
        <v>0</v>
      </c>
      <c r="X40" s="76">
        <f>'CLIENT ENROLLMENT DISCHARGE '!L40</f>
        <v>0</v>
      </c>
      <c r="Y40" s="180" t="s">
        <v>0</v>
      </c>
    </row>
    <row r="41" spans="1:25" ht="50.1" customHeight="1" x14ac:dyDescent="0.25">
      <c r="A41" s="5">
        <v>27</v>
      </c>
      <c r="B41" s="10">
        <f>'CLIENT ENROLLMENT DISCHARGE '!B41</f>
        <v>0</v>
      </c>
      <c r="C41" s="4">
        <f>'CLIENT ENROLLMENT DISCHARGE '!C41</f>
        <v>0</v>
      </c>
      <c r="D41" s="51"/>
      <c r="E41" s="52"/>
      <c r="F41" s="51"/>
      <c r="G41" s="52"/>
      <c r="H41" s="62"/>
      <c r="I41" s="115"/>
      <c r="J41" s="9"/>
      <c r="K41" s="70"/>
      <c r="L41" s="52"/>
      <c r="M41" s="8"/>
      <c r="N41" s="7"/>
      <c r="O41" s="218">
        <f t="shared" si="0"/>
        <v>0</v>
      </c>
      <c r="P41" s="218">
        <f>O41+SEPT!P41</f>
        <v>0</v>
      </c>
      <c r="Q41" s="59"/>
      <c r="R41" s="51"/>
      <c r="S41" s="65"/>
      <c r="T41" s="64"/>
      <c r="U41" s="67"/>
      <c r="V41" s="74"/>
      <c r="W41" s="6">
        <f>'CLIENT ENROLLMENT DISCHARGE '!M41</f>
        <v>0</v>
      </c>
      <c r="X41" s="76">
        <f>'CLIENT ENROLLMENT DISCHARGE '!L41</f>
        <v>0</v>
      </c>
      <c r="Y41" s="180" t="s">
        <v>0</v>
      </c>
    </row>
    <row r="42" spans="1:25" ht="50.1" customHeight="1" x14ac:dyDescent="0.25">
      <c r="A42" s="5">
        <v>28</v>
      </c>
      <c r="B42" s="10">
        <f>'CLIENT ENROLLMENT DISCHARGE '!B42</f>
        <v>0</v>
      </c>
      <c r="C42" s="4">
        <f>'CLIENT ENROLLMENT DISCHARGE '!C42</f>
        <v>0</v>
      </c>
      <c r="D42" s="52"/>
      <c r="E42" s="53"/>
      <c r="F42" s="52"/>
      <c r="G42" s="53"/>
      <c r="H42" s="63"/>
      <c r="I42" s="116"/>
      <c r="J42" s="3"/>
      <c r="K42" s="71"/>
      <c r="L42" s="53"/>
      <c r="M42" s="2"/>
      <c r="N42" s="1"/>
      <c r="O42" s="218">
        <f t="shared" si="0"/>
        <v>0</v>
      </c>
      <c r="P42" s="218">
        <f>O42+SEPT!P42</f>
        <v>0</v>
      </c>
      <c r="Q42" s="60"/>
      <c r="R42" s="52"/>
      <c r="S42" s="66"/>
      <c r="T42" s="65"/>
      <c r="U42" s="68"/>
      <c r="V42" s="59"/>
      <c r="W42" s="6">
        <f>'CLIENT ENROLLMENT DISCHARGE '!M42</f>
        <v>0</v>
      </c>
      <c r="X42" s="76">
        <f>'CLIENT ENROLLMENT DISCHARGE '!L42</f>
        <v>0</v>
      </c>
      <c r="Y42" s="180" t="s">
        <v>0</v>
      </c>
    </row>
    <row r="43" spans="1:25" ht="50.1" customHeight="1" x14ac:dyDescent="0.25">
      <c r="A43" s="5">
        <v>29</v>
      </c>
      <c r="B43" s="10">
        <f>'CLIENT ENROLLMENT DISCHARGE '!B43</f>
        <v>0</v>
      </c>
      <c r="C43" s="4">
        <f>'CLIENT ENROLLMENT DISCHARGE '!C43</f>
        <v>0</v>
      </c>
      <c r="D43" s="51"/>
      <c r="E43" s="52"/>
      <c r="F43" s="51"/>
      <c r="G43" s="52"/>
      <c r="H43" s="62"/>
      <c r="I43" s="115"/>
      <c r="J43" s="9"/>
      <c r="K43" s="70"/>
      <c r="L43" s="52"/>
      <c r="M43" s="8"/>
      <c r="N43" s="7"/>
      <c r="O43" s="218">
        <f t="shared" si="0"/>
        <v>0</v>
      </c>
      <c r="P43" s="218">
        <f>O43+SEPT!P43</f>
        <v>0</v>
      </c>
      <c r="Q43" s="59"/>
      <c r="R43" s="51"/>
      <c r="S43" s="65"/>
      <c r="T43" s="64"/>
      <c r="U43" s="67"/>
      <c r="V43" s="74"/>
      <c r="W43" s="6">
        <f>'CLIENT ENROLLMENT DISCHARGE '!M43</f>
        <v>0</v>
      </c>
      <c r="X43" s="76">
        <f>'CLIENT ENROLLMENT DISCHARGE '!L43</f>
        <v>0</v>
      </c>
      <c r="Y43" s="180" t="s">
        <v>0</v>
      </c>
    </row>
    <row r="44" spans="1:25" ht="50.1" customHeight="1" x14ac:dyDescent="0.25">
      <c r="A44" s="5">
        <v>30</v>
      </c>
      <c r="B44" s="10">
        <f>'CLIENT ENROLLMENT DISCHARGE '!B44</f>
        <v>0</v>
      </c>
      <c r="C44" s="4">
        <f>'CLIENT ENROLLMENT DISCHARGE '!C44</f>
        <v>0</v>
      </c>
      <c r="D44" s="52"/>
      <c r="E44" s="53"/>
      <c r="F44" s="52"/>
      <c r="G44" s="53"/>
      <c r="H44" s="63"/>
      <c r="I44" s="116"/>
      <c r="J44" s="3"/>
      <c r="K44" s="71"/>
      <c r="L44" s="53"/>
      <c r="M44" s="2"/>
      <c r="N44" s="1"/>
      <c r="O44" s="218">
        <f t="shared" si="0"/>
        <v>0</v>
      </c>
      <c r="P44" s="218">
        <f>O44+SEPT!P44</f>
        <v>0</v>
      </c>
      <c r="Q44" s="60"/>
      <c r="R44" s="52"/>
      <c r="S44" s="66"/>
      <c r="T44" s="65"/>
      <c r="U44" s="68"/>
      <c r="V44" s="59"/>
      <c r="W44" s="6">
        <f>'CLIENT ENROLLMENT DISCHARGE '!M44</f>
        <v>0</v>
      </c>
      <c r="X44" s="76">
        <f>'CLIENT ENROLLMENT DISCHARGE '!L44</f>
        <v>0</v>
      </c>
      <c r="Y44" s="180" t="s">
        <v>0</v>
      </c>
    </row>
    <row r="45" spans="1:25" ht="50.1" customHeight="1" x14ac:dyDescent="0.25">
      <c r="A45" s="5">
        <v>31</v>
      </c>
      <c r="B45" s="10">
        <f>'CLIENT ENROLLMENT DISCHARGE '!B45</f>
        <v>0</v>
      </c>
      <c r="C45" s="4">
        <f>'CLIENT ENROLLMENT DISCHARGE '!C45</f>
        <v>0</v>
      </c>
      <c r="D45" s="51"/>
      <c r="E45" s="52"/>
      <c r="F45" s="51"/>
      <c r="G45" s="52"/>
      <c r="H45" s="62"/>
      <c r="I45" s="115"/>
      <c r="J45" s="9"/>
      <c r="K45" s="70"/>
      <c r="L45" s="52"/>
      <c r="M45" s="8"/>
      <c r="N45" s="7"/>
      <c r="O45" s="218">
        <f t="shared" si="0"/>
        <v>0</v>
      </c>
      <c r="P45" s="218">
        <f>O45+SEPT!P45</f>
        <v>0</v>
      </c>
      <c r="Q45" s="59"/>
      <c r="R45" s="51"/>
      <c r="S45" s="65"/>
      <c r="T45" s="64"/>
      <c r="U45" s="67"/>
      <c r="V45" s="74"/>
      <c r="W45" s="6">
        <f>'CLIENT ENROLLMENT DISCHARGE '!M45</f>
        <v>0</v>
      </c>
      <c r="X45" s="76">
        <f>'CLIENT ENROLLMENT DISCHARGE '!L45</f>
        <v>0</v>
      </c>
      <c r="Y45" s="180" t="s">
        <v>0</v>
      </c>
    </row>
    <row r="46" spans="1:25" ht="50.1" customHeight="1" x14ac:dyDescent="0.25">
      <c r="A46" s="5">
        <v>32</v>
      </c>
      <c r="B46" s="10">
        <f>'CLIENT ENROLLMENT DISCHARGE '!B46</f>
        <v>0</v>
      </c>
      <c r="C46" s="4">
        <f>'CLIENT ENROLLMENT DISCHARGE '!C46</f>
        <v>0</v>
      </c>
      <c r="D46" s="52"/>
      <c r="E46" s="53"/>
      <c r="F46" s="52"/>
      <c r="G46" s="53"/>
      <c r="H46" s="63"/>
      <c r="I46" s="116"/>
      <c r="J46" s="3"/>
      <c r="K46" s="71"/>
      <c r="L46" s="53"/>
      <c r="M46" s="2"/>
      <c r="N46" s="1"/>
      <c r="O46" s="218">
        <f t="shared" si="0"/>
        <v>0</v>
      </c>
      <c r="P46" s="218">
        <f>O46+SEPT!P46</f>
        <v>0</v>
      </c>
      <c r="Q46" s="60"/>
      <c r="R46" s="52"/>
      <c r="S46" s="66"/>
      <c r="T46" s="65"/>
      <c r="U46" s="68"/>
      <c r="V46" s="59"/>
      <c r="W46" s="6">
        <f>'CLIENT ENROLLMENT DISCHARGE '!M46</f>
        <v>0</v>
      </c>
      <c r="X46" s="76">
        <f>'CLIENT ENROLLMENT DISCHARGE '!L46</f>
        <v>0</v>
      </c>
      <c r="Y46" s="180" t="s">
        <v>0</v>
      </c>
    </row>
    <row r="47" spans="1:25" ht="50.1" customHeight="1" x14ac:dyDescent="0.25">
      <c r="A47" s="5">
        <v>33</v>
      </c>
      <c r="B47" s="10">
        <f>'CLIENT ENROLLMENT DISCHARGE '!B47</f>
        <v>0</v>
      </c>
      <c r="C47" s="4">
        <f>'CLIENT ENROLLMENT DISCHARGE '!C47</f>
        <v>0</v>
      </c>
      <c r="D47" s="51"/>
      <c r="E47" s="52"/>
      <c r="F47" s="51"/>
      <c r="G47" s="52"/>
      <c r="H47" s="62"/>
      <c r="I47" s="115"/>
      <c r="J47" s="9"/>
      <c r="K47" s="70"/>
      <c r="L47" s="52"/>
      <c r="M47" s="8"/>
      <c r="N47" s="7"/>
      <c r="O47" s="218">
        <f t="shared" si="0"/>
        <v>0</v>
      </c>
      <c r="P47" s="218">
        <f>O47+SEPT!P47</f>
        <v>0</v>
      </c>
      <c r="Q47" s="59"/>
      <c r="R47" s="51"/>
      <c r="S47" s="65"/>
      <c r="T47" s="64"/>
      <c r="U47" s="67"/>
      <c r="V47" s="74"/>
      <c r="W47" s="6">
        <f>'CLIENT ENROLLMENT DISCHARGE '!M47</f>
        <v>0</v>
      </c>
      <c r="X47" s="76">
        <f>'CLIENT ENROLLMENT DISCHARGE '!L47</f>
        <v>0</v>
      </c>
      <c r="Y47" s="180" t="s">
        <v>0</v>
      </c>
    </row>
    <row r="48" spans="1:25" ht="50.1" customHeight="1" x14ac:dyDescent="0.25">
      <c r="A48" s="5">
        <v>34</v>
      </c>
      <c r="B48" s="10">
        <f>'CLIENT ENROLLMENT DISCHARGE '!B48</f>
        <v>0</v>
      </c>
      <c r="C48" s="4">
        <f>'CLIENT ENROLLMENT DISCHARGE '!C48</f>
        <v>0</v>
      </c>
      <c r="D48" s="52"/>
      <c r="E48" s="53"/>
      <c r="F48" s="52"/>
      <c r="G48" s="53"/>
      <c r="H48" s="63"/>
      <c r="I48" s="116"/>
      <c r="J48" s="3"/>
      <c r="K48" s="71"/>
      <c r="L48" s="53"/>
      <c r="M48" s="2"/>
      <c r="N48" s="1"/>
      <c r="O48" s="218">
        <f t="shared" si="0"/>
        <v>0</v>
      </c>
      <c r="P48" s="218">
        <f>O48+SEPT!P48</f>
        <v>0</v>
      </c>
      <c r="Q48" s="60"/>
      <c r="R48" s="52"/>
      <c r="S48" s="66"/>
      <c r="T48" s="65"/>
      <c r="U48" s="68"/>
      <c r="V48" s="59"/>
      <c r="W48" s="6">
        <f>'CLIENT ENROLLMENT DISCHARGE '!M48</f>
        <v>0</v>
      </c>
      <c r="X48" s="76">
        <f>'CLIENT ENROLLMENT DISCHARGE '!L48</f>
        <v>0</v>
      </c>
      <c r="Y48" s="180" t="s">
        <v>0</v>
      </c>
    </row>
    <row r="49" spans="1:25" ht="50.1" customHeight="1" x14ac:dyDescent="0.25">
      <c r="A49" s="5">
        <v>35</v>
      </c>
      <c r="B49" s="10">
        <f>'CLIENT ENROLLMENT DISCHARGE '!B49</f>
        <v>0</v>
      </c>
      <c r="C49" s="4">
        <f>'CLIENT ENROLLMENT DISCHARGE '!C49</f>
        <v>0</v>
      </c>
      <c r="D49" s="51"/>
      <c r="E49" s="52"/>
      <c r="F49" s="51"/>
      <c r="G49" s="52"/>
      <c r="H49" s="62"/>
      <c r="I49" s="115"/>
      <c r="J49" s="9"/>
      <c r="K49" s="70"/>
      <c r="L49" s="52"/>
      <c r="M49" s="8"/>
      <c r="N49" s="7"/>
      <c r="O49" s="218">
        <f t="shared" si="0"/>
        <v>0</v>
      </c>
      <c r="P49" s="218">
        <f>O49+SEPT!P49</f>
        <v>0</v>
      </c>
      <c r="Q49" s="59"/>
      <c r="R49" s="51"/>
      <c r="S49" s="65"/>
      <c r="T49" s="64"/>
      <c r="U49" s="67"/>
      <c r="V49" s="74"/>
      <c r="W49" s="6">
        <f>'CLIENT ENROLLMENT DISCHARGE '!M49</f>
        <v>0</v>
      </c>
      <c r="X49" s="76">
        <f>'CLIENT ENROLLMENT DISCHARGE '!L49</f>
        <v>0</v>
      </c>
      <c r="Y49" s="180" t="s">
        <v>0</v>
      </c>
    </row>
    <row r="50" spans="1:25" ht="50.1" customHeight="1" x14ac:dyDescent="0.25">
      <c r="A50" s="5">
        <v>36</v>
      </c>
      <c r="B50" s="10">
        <f>'CLIENT ENROLLMENT DISCHARGE '!B50</f>
        <v>0</v>
      </c>
      <c r="C50" s="4">
        <f>'CLIENT ENROLLMENT DISCHARGE '!C50</f>
        <v>0</v>
      </c>
      <c r="D50" s="52"/>
      <c r="E50" s="53"/>
      <c r="F50" s="52"/>
      <c r="G50" s="53"/>
      <c r="H50" s="63"/>
      <c r="I50" s="116"/>
      <c r="J50" s="3"/>
      <c r="K50" s="71"/>
      <c r="L50" s="53"/>
      <c r="M50" s="2"/>
      <c r="N50" s="1"/>
      <c r="O50" s="218">
        <f t="shared" si="0"/>
        <v>0</v>
      </c>
      <c r="P50" s="218">
        <f>O50+SEPT!P50</f>
        <v>0</v>
      </c>
      <c r="Q50" s="60"/>
      <c r="R50" s="52"/>
      <c r="S50" s="66"/>
      <c r="T50" s="65"/>
      <c r="U50" s="68"/>
      <c r="V50" s="75"/>
      <c r="W50" s="6">
        <f>'CLIENT ENROLLMENT DISCHARGE '!M50</f>
        <v>0</v>
      </c>
      <c r="X50" s="76">
        <f>'CLIENT ENROLLMENT DISCHARGE '!L50</f>
        <v>0</v>
      </c>
      <c r="Y50" s="180" t="s">
        <v>0</v>
      </c>
    </row>
    <row r="51" spans="1:25" ht="50.1" customHeight="1" x14ac:dyDescent="0.25">
      <c r="A51" s="5">
        <v>37</v>
      </c>
      <c r="B51" s="10">
        <f>'CLIENT ENROLLMENT DISCHARGE '!B51</f>
        <v>0</v>
      </c>
      <c r="C51" s="4">
        <f>'CLIENT ENROLLMENT DISCHARGE '!C51</f>
        <v>0</v>
      </c>
      <c r="D51" s="51"/>
      <c r="E51" s="52"/>
      <c r="F51" s="51"/>
      <c r="G51" s="52"/>
      <c r="H51" s="62"/>
      <c r="I51" s="115"/>
      <c r="J51" s="9"/>
      <c r="K51" s="70"/>
      <c r="L51" s="52"/>
      <c r="M51" s="8"/>
      <c r="N51" s="7"/>
      <c r="O51" s="218">
        <f t="shared" si="0"/>
        <v>0</v>
      </c>
      <c r="P51" s="218">
        <f>O51+SEPT!P51</f>
        <v>0</v>
      </c>
      <c r="Q51" s="59"/>
      <c r="R51" s="51"/>
      <c r="S51" s="65"/>
      <c r="T51" s="64"/>
      <c r="U51" s="67"/>
      <c r="V51" s="74"/>
      <c r="W51" s="6">
        <f>'CLIENT ENROLLMENT DISCHARGE '!M51</f>
        <v>0</v>
      </c>
      <c r="X51" s="76">
        <f>'CLIENT ENROLLMENT DISCHARGE '!L51</f>
        <v>0</v>
      </c>
      <c r="Y51" s="180" t="s">
        <v>0</v>
      </c>
    </row>
    <row r="52" spans="1:25" ht="50.1" customHeight="1" x14ac:dyDescent="0.25">
      <c r="A52" s="5">
        <v>38</v>
      </c>
      <c r="B52" s="10">
        <f>'CLIENT ENROLLMENT DISCHARGE '!B52</f>
        <v>0</v>
      </c>
      <c r="C52" s="4">
        <f>'CLIENT ENROLLMENT DISCHARGE '!C52</f>
        <v>0</v>
      </c>
      <c r="D52" s="52"/>
      <c r="E52" s="53"/>
      <c r="F52" s="52"/>
      <c r="G52" s="53"/>
      <c r="H52" s="63"/>
      <c r="I52" s="116"/>
      <c r="J52" s="3"/>
      <c r="K52" s="71"/>
      <c r="L52" s="53"/>
      <c r="M52" s="2"/>
      <c r="N52" s="1"/>
      <c r="O52" s="218">
        <f t="shared" si="0"/>
        <v>0</v>
      </c>
      <c r="P52" s="218">
        <f>O52+SEPT!P52</f>
        <v>0</v>
      </c>
      <c r="Q52" s="60"/>
      <c r="R52" s="52"/>
      <c r="S52" s="66"/>
      <c r="T52" s="65"/>
      <c r="U52" s="68"/>
      <c r="V52" s="59"/>
      <c r="W52" s="6">
        <f>'CLIENT ENROLLMENT DISCHARGE '!M52</f>
        <v>0</v>
      </c>
      <c r="X52" s="76">
        <f>'CLIENT ENROLLMENT DISCHARGE '!L52</f>
        <v>0</v>
      </c>
      <c r="Y52" s="180" t="s">
        <v>0</v>
      </c>
    </row>
    <row r="53" spans="1:25" ht="50.1" customHeight="1" x14ac:dyDescent="0.25">
      <c r="A53" s="5">
        <v>39</v>
      </c>
      <c r="B53" s="10">
        <f>'CLIENT ENROLLMENT DISCHARGE '!B53</f>
        <v>0</v>
      </c>
      <c r="C53" s="4">
        <f>'CLIENT ENROLLMENT DISCHARGE '!C53</f>
        <v>0</v>
      </c>
      <c r="D53" s="51"/>
      <c r="E53" s="52"/>
      <c r="F53" s="51"/>
      <c r="G53" s="52"/>
      <c r="H53" s="62"/>
      <c r="I53" s="115"/>
      <c r="J53" s="9"/>
      <c r="K53" s="70"/>
      <c r="L53" s="52"/>
      <c r="M53" s="8"/>
      <c r="N53" s="7"/>
      <c r="O53" s="218">
        <f t="shared" si="0"/>
        <v>0</v>
      </c>
      <c r="P53" s="218">
        <f>O53+SEPT!P53</f>
        <v>0</v>
      </c>
      <c r="Q53" s="59"/>
      <c r="R53" s="51"/>
      <c r="S53" s="65"/>
      <c r="T53" s="64"/>
      <c r="U53" s="67"/>
      <c r="V53" s="74"/>
      <c r="W53" s="6">
        <f>'CLIENT ENROLLMENT DISCHARGE '!M53</f>
        <v>0</v>
      </c>
      <c r="X53" s="76">
        <f>'CLIENT ENROLLMENT DISCHARGE '!L53</f>
        <v>0</v>
      </c>
      <c r="Y53" s="180" t="s">
        <v>0</v>
      </c>
    </row>
    <row r="54" spans="1:25" ht="50.1" customHeight="1" x14ac:dyDescent="0.25">
      <c r="A54" s="5">
        <v>40</v>
      </c>
      <c r="B54" s="10">
        <f>'CLIENT ENROLLMENT DISCHARGE '!B54</f>
        <v>0</v>
      </c>
      <c r="C54" s="4">
        <f>'CLIENT ENROLLMENT DISCHARGE '!C54</f>
        <v>0</v>
      </c>
      <c r="D54" s="52"/>
      <c r="E54" s="53"/>
      <c r="F54" s="52"/>
      <c r="G54" s="53"/>
      <c r="H54" s="63"/>
      <c r="I54" s="116"/>
      <c r="J54" s="3"/>
      <c r="K54" s="71"/>
      <c r="L54" s="53"/>
      <c r="M54" s="2"/>
      <c r="N54" s="1"/>
      <c r="O54" s="218">
        <f t="shared" si="0"/>
        <v>0</v>
      </c>
      <c r="P54" s="218">
        <f>O54+SEPT!P54</f>
        <v>0</v>
      </c>
      <c r="Q54" s="60"/>
      <c r="R54" s="52"/>
      <c r="S54" s="66"/>
      <c r="T54" s="65"/>
      <c r="U54" s="68"/>
      <c r="V54" s="59"/>
      <c r="W54" s="6">
        <f>'CLIENT ENROLLMENT DISCHARGE '!M54</f>
        <v>0</v>
      </c>
      <c r="X54" s="76">
        <f>'CLIENT ENROLLMENT DISCHARGE '!L54</f>
        <v>0</v>
      </c>
      <c r="Y54" s="180" t="s">
        <v>0</v>
      </c>
    </row>
    <row r="55" spans="1:25" ht="50.1" customHeight="1" x14ac:dyDescent="0.25">
      <c r="A55" s="5">
        <v>41</v>
      </c>
      <c r="B55" s="10">
        <f>'CLIENT ENROLLMENT DISCHARGE '!B55</f>
        <v>0</v>
      </c>
      <c r="C55" s="4">
        <f>'CLIENT ENROLLMENT DISCHARGE '!C55</f>
        <v>0</v>
      </c>
      <c r="D55" s="51"/>
      <c r="E55" s="52"/>
      <c r="F55" s="51"/>
      <c r="G55" s="52"/>
      <c r="H55" s="62"/>
      <c r="I55" s="115"/>
      <c r="J55" s="9"/>
      <c r="K55" s="70"/>
      <c r="L55" s="52"/>
      <c r="M55" s="8"/>
      <c r="N55" s="7"/>
      <c r="O55" s="218">
        <f t="shared" si="0"/>
        <v>0</v>
      </c>
      <c r="P55" s="218">
        <f>O55+SEPT!P55</f>
        <v>0</v>
      </c>
      <c r="Q55" s="59"/>
      <c r="R55" s="51"/>
      <c r="S55" s="65"/>
      <c r="T55" s="64"/>
      <c r="U55" s="67"/>
      <c r="V55" s="74"/>
      <c r="W55" s="6">
        <f>'CLIENT ENROLLMENT DISCHARGE '!M55</f>
        <v>0</v>
      </c>
      <c r="X55" s="76">
        <f>'CLIENT ENROLLMENT DISCHARGE '!L55</f>
        <v>0</v>
      </c>
      <c r="Y55" s="180" t="s">
        <v>0</v>
      </c>
    </row>
    <row r="56" spans="1:25" ht="50.1" customHeight="1" x14ac:dyDescent="0.25">
      <c r="A56" s="5">
        <v>42</v>
      </c>
      <c r="B56" s="10">
        <f>'CLIENT ENROLLMENT DISCHARGE '!B56</f>
        <v>0</v>
      </c>
      <c r="C56" s="4">
        <f>'CLIENT ENROLLMENT DISCHARGE '!C56</f>
        <v>0</v>
      </c>
      <c r="D56" s="52"/>
      <c r="E56" s="53"/>
      <c r="F56" s="52"/>
      <c r="G56" s="53"/>
      <c r="H56" s="63"/>
      <c r="I56" s="116"/>
      <c r="J56" s="3"/>
      <c r="K56" s="71"/>
      <c r="L56" s="53"/>
      <c r="M56" s="2"/>
      <c r="N56" s="1"/>
      <c r="O56" s="218">
        <f t="shared" si="0"/>
        <v>0</v>
      </c>
      <c r="P56" s="218">
        <f>O56+SEPT!P56</f>
        <v>0</v>
      </c>
      <c r="Q56" s="60"/>
      <c r="R56" s="52"/>
      <c r="S56" s="66"/>
      <c r="T56" s="65"/>
      <c r="U56" s="68"/>
      <c r="V56" s="59"/>
      <c r="W56" s="6">
        <f>'CLIENT ENROLLMENT DISCHARGE '!M56</f>
        <v>0</v>
      </c>
      <c r="X56" s="76">
        <f>'CLIENT ENROLLMENT DISCHARGE '!L56</f>
        <v>0</v>
      </c>
      <c r="Y56" s="180" t="s">
        <v>0</v>
      </c>
    </row>
    <row r="57" spans="1:25" ht="50.1" customHeight="1" x14ac:dyDescent="0.25">
      <c r="A57" s="5">
        <f>ROW(A45)</f>
        <v>45</v>
      </c>
      <c r="B57" s="10">
        <f>'CLIENT ENROLLMENT DISCHARGE '!B57</f>
        <v>0</v>
      </c>
      <c r="C57" s="4">
        <f>'CLIENT ENROLLMENT DISCHARGE '!C57</f>
        <v>0</v>
      </c>
      <c r="D57" s="51"/>
      <c r="E57" s="52"/>
      <c r="F57" s="51"/>
      <c r="G57" s="52"/>
      <c r="H57" s="62"/>
      <c r="I57" s="115"/>
      <c r="J57" s="9"/>
      <c r="K57" s="70"/>
      <c r="L57" s="52"/>
      <c r="M57" s="8"/>
      <c r="N57" s="7"/>
      <c r="O57" s="218">
        <f t="shared" si="0"/>
        <v>0</v>
      </c>
      <c r="P57" s="218">
        <f>O57+SEPT!P57</f>
        <v>0</v>
      </c>
      <c r="Q57" s="59"/>
      <c r="R57" s="51"/>
      <c r="S57" s="65"/>
      <c r="T57" s="64"/>
      <c r="U57" s="67"/>
      <c r="V57" s="74"/>
      <c r="W57" s="6">
        <f>'CLIENT ENROLLMENT DISCHARGE '!M57</f>
        <v>0</v>
      </c>
      <c r="X57" s="76">
        <f>'CLIENT ENROLLMENT DISCHARGE '!L57</f>
        <v>0</v>
      </c>
      <c r="Y57" s="180" t="s">
        <v>0</v>
      </c>
    </row>
    <row r="58" spans="1:25" ht="50.1" customHeight="1" x14ac:dyDescent="0.25">
      <c r="A58" s="5">
        <v>44</v>
      </c>
      <c r="B58" s="10">
        <f>'CLIENT ENROLLMENT DISCHARGE '!B58</f>
        <v>0</v>
      </c>
      <c r="C58" s="4">
        <f>'CLIENT ENROLLMENT DISCHARGE '!C58</f>
        <v>0</v>
      </c>
      <c r="D58" s="52"/>
      <c r="E58" s="53"/>
      <c r="F58" s="52"/>
      <c r="G58" s="53"/>
      <c r="H58" s="63"/>
      <c r="I58" s="116"/>
      <c r="J58" s="3"/>
      <c r="K58" s="71"/>
      <c r="L58" s="53"/>
      <c r="M58" s="2"/>
      <c r="N58" s="1"/>
      <c r="O58" s="218">
        <f t="shared" si="0"/>
        <v>0</v>
      </c>
      <c r="P58" s="218">
        <f>O58+SEPT!P58</f>
        <v>0</v>
      </c>
      <c r="Q58" s="60"/>
      <c r="R58" s="52"/>
      <c r="S58" s="66"/>
      <c r="T58" s="65"/>
      <c r="U58" s="68"/>
      <c r="V58" s="59"/>
      <c r="W58" s="6">
        <f>'CLIENT ENROLLMENT DISCHARGE '!M58</f>
        <v>0</v>
      </c>
      <c r="X58" s="76">
        <f>'CLIENT ENROLLMENT DISCHARGE '!L58</f>
        <v>0</v>
      </c>
      <c r="Y58" s="180" t="s">
        <v>0</v>
      </c>
    </row>
    <row r="59" spans="1:25" ht="50.1" customHeight="1" x14ac:dyDescent="0.25">
      <c r="A59" s="5">
        <v>45</v>
      </c>
      <c r="B59" s="10">
        <f>'CLIENT ENROLLMENT DISCHARGE '!B59</f>
        <v>0</v>
      </c>
      <c r="C59" s="4">
        <f>'CLIENT ENROLLMENT DISCHARGE '!C59</f>
        <v>0</v>
      </c>
      <c r="D59" s="51"/>
      <c r="E59" s="52"/>
      <c r="F59" s="51"/>
      <c r="G59" s="52"/>
      <c r="H59" s="62"/>
      <c r="I59" s="115"/>
      <c r="J59" s="9"/>
      <c r="K59" s="70"/>
      <c r="L59" s="52"/>
      <c r="M59" s="8"/>
      <c r="N59" s="7"/>
      <c r="O59" s="218">
        <f t="shared" si="0"/>
        <v>0</v>
      </c>
      <c r="P59" s="218">
        <f>O59+SEPT!P59</f>
        <v>0</v>
      </c>
      <c r="Q59" s="59"/>
      <c r="R59" s="51"/>
      <c r="S59" s="65"/>
      <c r="T59" s="64"/>
      <c r="U59" s="67"/>
      <c r="V59" s="74"/>
      <c r="W59" s="6">
        <f>'CLIENT ENROLLMENT DISCHARGE '!M59</f>
        <v>0</v>
      </c>
      <c r="X59" s="76">
        <f>'CLIENT ENROLLMENT DISCHARGE '!L59</f>
        <v>0</v>
      </c>
      <c r="Y59" s="180" t="s">
        <v>0</v>
      </c>
    </row>
    <row r="60" spans="1:25" ht="50.1" customHeight="1" x14ac:dyDescent="0.25">
      <c r="A60" s="5">
        <v>46</v>
      </c>
      <c r="B60" s="10">
        <f>'CLIENT ENROLLMENT DISCHARGE '!B60</f>
        <v>0</v>
      </c>
      <c r="C60" s="4">
        <f>'CLIENT ENROLLMENT DISCHARGE '!C60</f>
        <v>0</v>
      </c>
      <c r="D60" s="52"/>
      <c r="E60" s="53"/>
      <c r="F60" s="52"/>
      <c r="G60" s="53"/>
      <c r="H60" s="63"/>
      <c r="I60" s="116"/>
      <c r="J60" s="3"/>
      <c r="K60" s="71"/>
      <c r="L60" s="53"/>
      <c r="M60" s="2"/>
      <c r="N60" s="1"/>
      <c r="O60" s="218">
        <f t="shared" si="0"/>
        <v>0</v>
      </c>
      <c r="P60" s="218">
        <f>O60+SEPT!P60</f>
        <v>0</v>
      </c>
      <c r="Q60" s="60"/>
      <c r="R60" s="52"/>
      <c r="S60" s="66"/>
      <c r="T60" s="65"/>
      <c r="U60" s="68"/>
      <c r="V60" s="75"/>
      <c r="W60" s="6">
        <f>'CLIENT ENROLLMENT DISCHARGE '!M60</f>
        <v>0</v>
      </c>
      <c r="X60" s="76">
        <f>'CLIENT ENROLLMENT DISCHARGE '!L60</f>
        <v>0</v>
      </c>
      <c r="Y60" s="180" t="s">
        <v>0</v>
      </c>
    </row>
    <row r="61" spans="1:25" ht="50.1" customHeight="1" x14ac:dyDescent="0.25">
      <c r="A61" s="5">
        <v>47</v>
      </c>
      <c r="B61" s="10">
        <f>'CLIENT ENROLLMENT DISCHARGE '!B61</f>
        <v>0</v>
      </c>
      <c r="C61" s="4">
        <f>'CLIENT ENROLLMENT DISCHARGE '!C61</f>
        <v>0</v>
      </c>
      <c r="D61" s="51"/>
      <c r="E61" s="52"/>
      <c r="F61" s="51"/>
      <c r="G61" s="52"/>
      <c r="H61" s="62"/>
      <c r="I61" s="115"/>
      <c r="J61" s="9"/>
      <c r="K61" s="70"/>
      <c r="L61" s="52"/>
      <c r="M61" s="8"/>
      <c r="N61" s="7"/>
      <c r="O61" s="218">
        <f t="shared" si="0"/>
        <v>0</v>
      </c>
      <c r="P61" s="218">
        <f>O61+SEPT!P61</f>
        <v>0</v>
      </c>
      <c r="Q61" s="59"/>
      <c r="R61" s="51"/>
      <c r="S61" s="65"/>
      <c r="T61" s="64"/>
      <c r="U61" s="67"/>
      <c r="V61" s="74"/>
      <c r="W61" s="6">
        <f>'CLIENT ENROLLMENT DISCHARGE '!M61</f>
        <v>0</v>
      </c>
      <c r="X61" s="76">
        <f>'CLIENT ENROLLMENT DISCHARGE '!L61</f>
        <v>0</v>
      </c>
      <c r="Y61" s="180" t="s">
        <v>0</v>
      </c>
    </row>
    <row r="62" spans="1:25" ht="50.1" customHeight="1" x14ac:dyDescent="0.25">
      <c r="A62" s="5">
        <v>48</v>
      </c>
      <c r="B62" s="10">
        <f>'CLIENT ENROLLMENT DISCHARGE '!B62</f>
        <v>0</v>
      </c>
      <c r="C62" s="4">
        <f>'CLIENT ENROLLMENT DISCHARGE '!C62</f>
        <v>0</v>
      </c>
      <c r="D62" s="52"/>
      <c r="E62" s="53"/>
      <c r="F62" s="52"/>
      <c r="G62" s="53"/>
      <c r="H62" s="63"/>
      <c r="I62" s="116"/>
      <c r="J62" s="3"/>
      <c r="K62" s="71"/>
      <c r="L62" s="53"/>
      <c r="M62" s="2"/>
      <c r="N62" s="1"/>
      <c r="O62" s="218">
        <f t="shared" si="0"/>
        <v>0</v>
      </c>
      <c r="P62" s="218">
        <f>O62+SEPT!P62</f>
        <v>0</v>
      </c>
      <c r="Q62" s="60"/>
      <c r="R62" s="52"/>
      <c r="S62" s="66"/>
      <c r="T62" s="65"/>
      <c r="U62" s="68"/>
      <c r="V62" s="59"/>
      <c r="W62" s="6">
        <f>'CLIENT ENROLLMENT DISCHARGE '!M62</f>
        <v>0</v>
      </c>
      <c r="X62" s="76">
        <f>'CLIENT ENROLLMENT DISCHARGE '!L62</f>
        <v>0</v>
      </c>
      <c r="Y62" s="180" t="s">
        <v>0</v>
      </c>
    </row>
    <row r="63" spans="1:25" ht="50.1" customHeight="1" x14ac:dyDescent="0.25">
      <c r="A63" s="5">
        <v>49</v>
      </c>
      <c r="B63" s="10">
        <f>'CLIENT ENROLLMENT DISCHARGE '!B63</f>
        <v>0</v>
      </c>
      <c r="C63" s="4">
        <f>'CLIENT ENROLLMENT DISCHARGE '!C63</f>
        <v>0</v>
      </c>
      <c r="D63" s="51"/>
      <c r="E63" s="52"/>
      <c r="F63" s="51"/>
      <c r="G63" s="52"/>
      <c r="H63" s="62"/>
      <c r="I63" s="115"/>
      <c r="J63" s="9"/>
      <c r="K63" s="70"/>
      <c r="L63" s="52"/>
      <c r="M63" s="8"/>
      <c r="N63" s="7"/>
      <c r="O63" s="218">
        <f t="shared" si="0"/>
        <v>0</v>
      </c>
      <c r="P63" s="218">
        <f>O63+SEPT!P63</f>
        <v>0</v>
      </c>
      <c r="Q63" s="59"/>
      <c r="R63" s="51"/>
      <c r="S63" s="65"/>
      <c r="T63" s="64"/>
      <c r="U63" s="67"/>
      <c r="V63" s="74"/>
      <c r="W63" s="6">
        <f>'CLIENT ENROLLMENT DISCHARGE '!M63</f>
        <v>0</v>
      </c>
      <c r="X63" s="76">
        <f>'CLIENT ENROLLMENT DISCHARGE '!L63</f>
        <v>0</v>
      </c>
      <c r="Y63" s="180" t="s">
        <v>0</v>
      </c>
    </row>
    <row r="64" spans="1:25" ht="50.1" customHeight="1" x14ac:dyDescent="0.25">
      <c r="A64" s="5">
        <v>50</v>
      </c>
      <c r="B64" s="10">
        <f>'CLIENT ENROLLMENT DISCHARGE '!B64</f>
        <v>0</v>
      </c>
      <c r="C64" s="4">
        <f>'CLIENT ENROLLMENT DISCHARGE '!C64</f>
        <v>0</v>
      </c>
      <c r="D64" s="52"/>
      <c r="E64" s="53"/>
      <c r="F64" s="52"/>
      <c r="G64" s="53"/>
      <c r="H64" s="63"/>
      <c r="I64" s="116"/>
      <c r="J64" s="3"/>
      <c r="K64" s="71"/>
      <c r="L64" s="53"/>
      <c r="M64" s="2"/>
      <c r="N64" s="1"/>
      <c r="O64" s="218">
        <f t="shared" si="0"/>
        <v>0</v>
      </c>
      <c r="P64" s="218">
        <f>O64+SEPT!P64</f>
        <v>0</v>
      </c>
      <c r="Q64" s="60"/>
      <c r="R64" s="52"/>
      <c r="S64" s="66"/>
      <c r="T64" s="65"/>
      <c r="U64" s="68"/>
      <c r="V64" s="59"/>
      <c r="W64" s="6">
        <f>'CLIENT ENROLLMENT DISCHARGE '!M64</f>
        <v>0</v>
      </c>
      <c r="X64" s="76">
        <f>'CLIENT ENROLLMENT DISCHARGE '!L64</f>
        <v>0</v>
      </c>
      <c r="Y64" s="180" t="s">
        <v>0</v>
      </c>
    </row>
    <row r="65" spans="1:25" ht="50.1" customHeight="1" x14ac:dyDescent="0.25">
      <c r="A65" s="5">
        <v>51</v>
      </c>
      <c r="B65" s="10">
        <f>'CLIENT ENROLLMENT DISCHARGE '!B65</f>
        <v>0</v>
      </c>
      <c r="C65" s="4">
        <f>'CLIENT ENROLLMENT DISCHARGE '!C65</f>
        <v>0</v>
      </c>
      <c r="D65" s="51"/>
      <c r="E65" s="52"/>
      <c r="F65" s="51"/>
      <c r="G65" s="52"/>
      <c r="H65" s="62"/>
      <c r="I65" s="115"/>
      <c r="J65" s="9"/>
      <c r="K65" s="70"/>
      <c r="L65" s="52"/>
      <c r="M65" s="8"/>
      <c r="N65" s="7"/>
      <c r="O65" s="218">
        <f t="shared" si="0"/>
        <v>0</v>
      </c>
      <c r="P65" s="218">
        <f>O65+SEPT!P65</f>
        <v>0</v>
      </c>
      <c r="Q65" s="59"/>
      <c r="R65" s="51"/>
      <c r="S65" s="65"/>
      <c r="T65" s="64"/>
      <c r="U65" s="67"/>
      <c r="V65" s="74"/>
      <c r="W65" s="6">
        <f>'CLIENT ENROLLMENT DISCHARGE '!M65</f>
        <v>0</v>
      </c>
      <c r="X65" s="76">
        <f>'CLIENT ENROLLMENT DISCHARGE '!L65</f>
        <v>0</v>
      </c>
      <c r="Y65" s="180" t="s">
        <v>0</v>
      </c>
    </row>
    <row r="66" spans="1:25" ht="50.1" customHeight="1" x14ac:dyDescent="0.25">
      <c r="A66" s="5">
        <v>52</v>
      </c>
      <c r="B66" s="10">
        <f>'CLIENT ENROLLMENT DISCHARGE '!B66</f>
        <v>0</v>
      </c>
      <c r="C66" s="4">
        <f>'CLIENT ENROLLMENT DISCHARGE '!C66</f>
        <v>0</v>
      </c>
      <c r="D66" s="52"/>
      <c r="E66" s="53"/>
      <c r="F66" s="52"/>
      <c r="G66" s="53"/>
      <c r="H66" s="63"/>
      <c r="I66" s="116"/>
      <c r="J66" s="3"/>
      <c r="K66" s="71"/>
      <c r="L66" s="53"/>
      <c r="M66" s="2"/>
      <c r="N66" s="1"/>
      <c r="O66" s="218">
        <f t="shared" si="0"/>
        <v>0</v>
      </c>
      <c r="P66" s="218">
        <f>O66+SEPT!P66</f>
        <v>0</v>
      </c>
      <c r="Q66" s="60"/>
      <c r="R66" s="52"/>
      <c r="S66" s="66"/>
      <c r="T66" s="65"/>
      <c r="U66" s="68"/>
      <c r="V66" s="59"/>
      <c r="W66" s="6">
        <f>'CLIENT ENROLLMENT DISCHARGE '!M66</f>
        <v>0</v>
      </c>
      <c r="X66" s="76">
        <f>'CLIENT ENROLLMENT DISCHARGE '!L66</f>
        <v>0</v>
      </c>
      <c r="Y66" s="180" t="s">
        <v>0</v>
      </c>
    </row>
    <row r="67" spans="1:25" ht="50.1" customHeight="1" x14ac:dyDescent="0.25">
      <c r="A67" s="5">
        <v>53</v>
      </c>
      <c r="B67" s="10">
        <f>'CLIENT ENROLLMENT DISCHARGE '!B67</f>
        <v>0</v>
      </c>
      <c r="C67" s="4">
        <f>'CLIENT ENROLLMENT DISCHARGE '!C67</f>
        <v>0</v>
      </c>
      <c r="D67" s="51"/>
      <c r="E67" s="52"/>
      <c r="F67" s="51"/>
      <c r="G67" s="52"/>
      <c r="H67" s="62"/>
      <c r="I67" s="115"/>
      <c r="J67" s="9"/>
      <c r="K67" s="70"/>
      <c r="L67" s="52"/>
      <c r="M67" s="8"/>
      <c r="N67" s="7"/>
      <c r="O67" s="218">
        <f t="shared" si="0"/>
        <v>0</v>
      </c>
      <c r="P67" s="218">
        <f>O67+SEPT!P67</f>
        <v>0</v>
      </c>
      <c r="Q67" s="59"/>
      <c r="R67" s="51"/>
      <c r="S67" s="65"/>
      <c r="T67" s="64"/>
      <c r="U67" s="67"/>
      <c r="V67" s="74"/>
      <c r="W67" s="6">
        <f>'CLIENT ENROLLMENT DISCHARGE '!M67</f>
        <v>0</v>
      </c>
      <c r="X67" s="76">
        <f>'CLIENT ENROLLMENT DISCHARGE '!L67</f>
        <v>0</v>
      </c>
      <c r="Y67" s="180" t="s">
        <v>0</v>
      </c>
    </row>
    <row r="68" spans="1:25" ht="50.1" customHeight="1" x14ac:dyDescent="0.25">
      <c r="A68" s="5">
        <v>54</v>
      </c>
      <c r="B68" s="10">
        <f>'CLIENT ENROLLMENT DISCHARGE '!B68</f>
        <v>0</v>
      </c>
      <c r="C68" s="4">
        <f>'CLIENT ENROLLMENT DISCHARGE '!C68</f>
        <v>0</v>
      </c>
      <c r="D68" s="52"/>
      <c r="E68" s="53"/>
      <c r="F68" s="52"/>
      <c r="G68" s="53"/>
      <c r="H68" s="63"/>
      <c r="I68" s="116"/>
      <c r="J68" s="3"/>
      <c r="K68" s="71"/>
      <c r="L68" s="53"/>
      <c r="M68" s="2"/>
      <c r="N68" s="1"/>
      <c r="O68" s="218">
        <f t="shared" si="0"/>
        <v>0</v>
      </c>
      <c r="P68" s="218">
        <f>O68+SEPT!P68</f>
        <v>0</v>
      </c>
      <c r="Q68" s="60"/>
      <c r="R68" s="52"/>
      <c r="S68" s="66"/>
      <c r="T68" s="65"/>
      <c r="U68" s="68"/>
      <c r="V68" s="59"/>
      <c r="W68" s="6">
        <f>'CLIENT ENROLLMENT DISCHARGE '!M68</f>
        <v>0</v>
      </c>
      <c r="X68" s="76">
        <f>'CLIENT ENROLLMENT DISCHARGE '!L68</f>
        <v>0</v>
      </c>
      <c r="Y68" s="180" t="s">
        <v>0</v>
      </c>
    </row>
    <row r="69" spans="1:25" ht="50.1" customHeight="1" x14ac:dyDescent="0.25">
      <c r="A69" s="5">
        <v>55</v>
      </c>
      <c r="B69" s="10">
        <f>'CLIENT ENROLLMENT DISCHARGE '!B69</f>
        <v>0</v>
      </c>
      <c r="C69" s="4">
        <f>'CLIENT ENROLLMENT DISCHARGE '!C69</f>
        <v>0</v>
      </c>
      <c r="D69" s="51"/>
      <c r="E69" s="52"/>
      <c r="F69" s="51"/>
      <c r="G69" s="52"/>
      <c r="H69" s="62"/>
      <c r="I69" s="115"/>
      <c r="J69" s="9"/>
      <c r="K69" s="70"/>
      <c r="L69" s="52"/>
      <c r="M69" s="8"/>
      <c r="N69" s="7"/>
      <c r="O69" s="218">
        <f t="shared" si="0"/>
        <v>0</v>
      </c>
      <c r="P69" s="218">
        <f>O69+SEPT!P69</f>
        <v>0</v>
      </c>
      <c r="Q69" s="59"/>
      <c r="R69" s="51"/>
      <c r="S69" s="65"/>
      <c r="T69" s="64"/>
      <c r="U69" s="67"/>
      <c r="V69" s="74"/>
      <c r="W69" s="6">
        <f>'CLIENT ENROLLMENT DISCHARGE '!M69</f>
        <v>0</v>
      </c>
      <c r="X69" s="76">
        <f>'CLIENT ENROLLMENT DISCHARGE '!L69</f>
        <v>0</v>
      </c>
      <c r="Y69" s="180" t="s">
        <v>0</v>
      </c>
    </row>
    <row r="70" spans="1:25" ht="50.1" customHeight="1" x14ac:dyDescent="0.25">
      <c r="A70" s="5">
        <v>56</v>
      </c>
      <c r="B70" s="10">
        <f>'CLIENT ENROLLMENT DISCHARGE '!B70</f>
        <v>0</v>
      </c>
      <c r="C70" s="4">
        <f>'CLIENT ENROLLMENT DISCHARGE '!C70</f>
        <v>0</v>
      </c>
      <c r="D70" s="52"/>
      <c r="E70" s="53"/>
      <c r="F70" s="52"/>
      <c r="G70" s="53"/>
      <c r="H70" s="63"/>
      <c r="I70" s="116"/>
      <c r="J70" s="3"/>
      <c r="K70" s="71"/>
      <c r="L70" s="53"/>
      <c r="M70" s="2"/>
      <c r="N70" s="1"/>
      <c r="O70" s="218">
        <f t="shared" si="0"/>
        <v>0</v>
      </c>
      <c r="P70" s="218">
        <f>O70+SEPT!P70</f>
        <v>0</v>
      </c>
      <c r="Q70" s="60"/>
      <c r="R70" s="52"/>
      <c r="S70" s="66"/>
      <c r="T70" s="65"/>
      <c r="U70" s="68"/>
      <c r="V70" s="75"/>
      <c r="W70" s="6">
        <f>'CLIENT ENROLLMENT DISCHARGE '!M70</f>
        <v>0</v>
      </c>
      <c r="X70" s="76">
        <f>'CLIENT ENROLLMENT DISCHARGE '!L70</f>
        <v>0</v>
      </c>
      <c r="Y70" s="180" t="s">
        <v>0</v>
      </c>
    </row>
    <row r="71" spans="1:25" ht="50.1" customHeight="1" x14ac:dyDescent="0.25">
      <c r="A71" s="5">
        <v>57</v>
      </c>
      <c r="B71" s="10">
        <f>'CLIENT ENROLLMENT DISCHARGE '!B71</f>
        <v>0</v>
      </c>
      <c r="C71" s="4">
        <f>'CLIENT ENROLLMENT DISCHARGE '!C71</f>
        <v>0</v>
      </c>
      <c r="D71" s="51"/>
      <c r="E71" s="52"/>
      <c r="F71" s="51"/>
      <c r="G71" s="52"/>
      <c r="H71" s="62"/>
      <c r="I71" s="115"/>
      <c r="J71" s="9"/>
      <c r="K71" s="70"/>
      <c r="L71" s="52"/>
      <c r="M71" s="8"/>
      <c r="N71" s="7"/>
      <c r="O71" s="218">
        <f t="shared" si="0"/>
        <v>0</v>
      </c>
      <c r="P71" s="218">
        <f>O71+SEPT!P71</f>
        <v>0</v>
      </c>
      <c r="Q71" s="59"/>
      <c r="R71" s="51"/>
      <c r="S71" s="65"/>
      <c r="T71" s="64"/>
      <c r="U71" s="67"/>
      <c r="V71" s="74"/>
      <c r="W71" s="6">
        <f>'CLIENT ENROLLMENT DISCHARGE '!M71</f>
        <v>0</v>
      </c>
      <c r="X71" s="76">
        <f>'CLIENT ENROLLMENT DISCHARGE '!L71</f>
        <v>0</v>
      </c>
      <c r="Y71" s="180" t="s">
        <v>0</v>
      </c>
    </row>
    <row r="72" spans="1:25" ht="50.1" customHeight="1" x14ac:dyDescent="0.25">
      <c r="A72" s="5">
        <v>58</v>
      </c>
      <c r="B72" s="10">
        <f>'CLIENT ENROLLMENT DISCHARGE '!B72</f>
        <v>0</v>
      </c>
      <c r="C72" s="4">
        <f>'CLIENT ENROLLMENT DISCHARGE '!C72</f>
        <v>0</v>
      </c>
      <c r="D72" s="52"/>
      <c r="E72" s="53"/>
      <c r="F72" s="52"/>
      <c r="G72" s="53"/>
      <c r="H72" s="63"/>
      <c r="I72" s="116"/>
      <c r="J72" s="3"/>
      <c r="K72" s="71"/>
      <c r="L72" s="53"/>
      <c r="M72" s="2"/>
      <c r="N72" s="1"/>
      <c r="O72" s="218">
        <f t="shared" si="0"/>
        <v>0</v>
      </c>
      <c r="P72" s="218">
        <f>O72+SEPT!P72</f>
        <v>0</v>
      </c>
      <c r="Q72" s="60"/>
      <c r="R72" s="52"/>
      <c r="S72" s="66"/>
      <c r="T72" s="65"/>
      <c r="U72" s="68"/>
      <c r="V72" s="59"/>
      <c r="W72" s="6">
        <f>'CLIENT ENROLLMENT DISCHARGE '!M72</f>
        <v>0</v>
      </c>
      <c r="X72" s="76">
        <f>'CLIENT ENROLLMENT DISCHARGE '!L72</f>
        <v>0</v>
      </c>
      <c r="Y72" s="180" t="s">
        <v>0</v>
      </c>
    </row>
    <row r="73" spans="1:25" ht="50.1" customHeight="1" x14ac:dyDescent="0.25">
      <c r="A73" s="5">
        <v>59</v>
      </c>
      <c r="B73" s="10">
        <f>'CLIENT ENROLLMENT DISCHARGE '!B73</f>
        <v>0</v>
      </c>
      <c r="C73" s="4">
        <f>'CLIENT ENROLLMENT DISCHARGE '!C73</f>
        <v>0</v>
      </c>
      <c r="D73" s="51"/>
      <c r="E73" s="52"/>
      <c r="F73" s="51"/>
      <c r="G73" s="52"/>
      <c r="H73" s="62"/>
      <c r="I73" s="115"/>
      <c r="J73" s="9"/>
      <c r="K73" s="70"/>
      <c r="L73" s="52"/>
      <c r="M73" s="8"/>
      <c r="N73" s="7"/>
      <c r="O73" s="218">
        <f t="shared" si="0"/>
        <v>0</v>
      </c>
      <c r="P73" s="218">
        <f>O73+SEPT!P73</f>
        <v>0</v>
      </c>
      <c r="Q73" s="59"/>
      <c r="R73" s="51"/>
      <c r="S73" s="65"/>
      <c r="T73" s="64"/>
      <c r="U73" s="67"/>
      <c r="V73" s="74"/>
      <c r="W73" s="6">
        <f>'CLIENT ENROLLMENT DISCHARGE '!M73</f>
        <v>0</v>
      </c>
      <c r="X73" s="76">
        <f>'CLIENT ENROLLMENT DISCHARGE '!L73</f>
        <v>0</v>
      </c>
      <c r="Y73" s="180" t="s">
        <v>0</v>
      </c>
    </row>
    <row r="74" spans="1:25" ht="50.1" customHeight="1" x14ac:dyDescent="0.25">
      <c r="A74" s="5">
        <v>60</v>
      </c>
      <c r="B74" s="10">
        <f>'CLIENT ENROLLMENT DISCHARGE '!B74</f>
        <v>0</v>
      </c>
      <c r="C74" s="4">
        <f>'CLIENT ENROLLMENT DISCHARGE '!C74</f>
        <v>0</v>
      </c>
      <c r="D74" s="52"/>
      <c r="E74" s="53"/>
      <c r="F74" s="52"/>
      <c r="G74" s="53"/>
      <c r="H74" s="63"/>
      <c r="I74" s="116"/>
      <c r="J74" s="3"/>
      <c r="K74" s="71"/>
      <c r="L74" s="53"/>
      <c r="M74" s="2"/>
      <c r="N74" s="1"/>
      <c r="O74" s="218">
        <f t="shared" si="0"/>
        <v>0</v>
      </c>
      <c r="P74" s="218">
        <f>O74+SEPT!P74</f>
        <v>0</v>
      </c>
      <c r="Q74" s="60"/>
      <c r="R74" s="52"/>
      <c r="S74" s="66"/>
      <c r="T74" s="65"/>
      <c r="U74" s="68"/>
      <c r="V74" s="59"/>
      <c r="W74" s="6">
        <f>'CLIENT ENROLLMENT DISCHARGE '!M74</f>
        <v>0</v>
      </c>
      <c r="X74" s="76">
        <f>'CLIENT ENROLLMENT DISCHARGE '!L74</f>
        <v>0</v>
      </c>
      <c r="Y74" s="180" t="s">
        <v>0</v>
      </c>
    </row>
    <row r="75" spans="1:25" ht="50.1" customHeight="1" x14ac:dyDescent="0.25">
      <c r="A75" s="5">
        <v>61</v>
      </c>
      <c r="B75" s="10">
        <f>'CLIENT ENROLLMENT DISCHARGE '!B75</f>
        <v>0</v>
      </c>
      <c r="C75" s="4">
        <f>'CLIENT ENROLLMENT DISCHARGE '!C75</f>
        <v>0</v>
      </c>
      <c r="D75" s="51"/>
      <c r="E75" s="52"/>
      <c r="F75" s="51"/>
      <c r="G75" s="52"/>
      <c r="H75" s="62"/>
      <c r="I75" s="115"/>
      <c r="J75" s="9"/>
      <c r="K75" s="70"/>
      <c r="L75" s="52"/>
      <c r="M75" s="8"/>
      <c r="N75" s="7"/>
      <c r="O75" s="218">
        <f t="shared" si="0"/>
        <v>0</v>
      </c>
      <c r="P75" s="218">
        <f>O75+SEPT!P75</f>
        <v>0</v>
      </c>
      <c r="Q75" s="59"/>
      <c r="R75" s="51"/>
      <c r="S75" s="65"/>
      <c r="T75" s="64"/>
      <c r="U75" s="67"/>
      <c r="V75" s="74"/>
      <c r="W75" s="6">
        <f>'CLIENT ENROLLMENT DISCHARGE '!M75</f>
        <v>0</v>
      </c>
      <c r="X75" s="76">
        <f>'CLIENT ENROLLMENT DISCHARGE '!L75</f>
        <v>0</v>
      </c>
      <c r="Y75" s="180" t="s">
        <v>0</v>
      </c>
    </row>
    <row r="76" spans="1:25" ht="50.1" customHeight="1" x14ac:dyDescent="0.25">
      <c r="A76" s="5">
        <v>62</v>
      </c>
      <c r="B76" s="10">
        <f>'CLIENT ENROLLMENT DISCHARGE '!B76</f>
        <v>0</v>
      </c>
      <c r="C76" s="4">
        <f>'CLIENT ENROLLMENT DISCHARGE '!C76</f>
        <v>0</v>
      </c>
      <c r="D76" s="52"/>
      <c r="E76" s="53"/>
      <c r="F76" s="52"/>
      <c r="G76" s="53"/>
      <c r="H76" s="63"/>
      <c r="I76" s="116"/>
      <c r="J76" s="3"/>
      <c r="K76" s="71"/>
      <c r="L76" s="53"/>
      <c r="M76" s="2"/>
      <c r="N76" s="1"/>
      <c r="O76" s="218">
        <f t="shared" si="0"/>
        <v>0</v>
      </c>
      <c r="P76" s="218">
        <f>O76+SEPT!P76</f>
        <v>0</v>
      </c>
      <c r="Q76" s="60"/>
      <c r="R76" s="52"/>
      <c r="S76" s="66"/>
      <c r="T76" s="65"/>
      <c r="U76" s="68"/>
      <c r="V76" s="59"/>
      <c r="W76" s="6">
        <f>'CLIENT ENROLLMENT DISCHARGE '!M76</f>
        <v>0</v>
      </c>
      <c r="X76" s="76">
        <f>'CLIENT ENROLLMENT DISCHARGE '!L76</f>
        <v>0</v>
      </c>
      <c r="Y76" s="180" t="s">
        <v>0</v>
      </c>
    </row>
    <row r="77" spans="1:25" ht="50.1" customHeight="1" x14ac:dyDescent="0.25">
      <c r="A77" s="5">
        <v>63</v>
      </c>
      <c r="B77" s="10">
        <f>'CLIENT ENROLLMENT DISCHARGE '!B77</f>
        <v>0</v>
      </c>
      <c r="C77" s="4">
        <f>'CLIENT ENROLLMENT DISCHARGE '!C77</f>
        <v>0</v>
      </c>
      <c r="D77" s="51"/>
      <c r="E77" s="52"/>
      <c r="F77" s="51"/>
      <c r="G77" s="52"/>
      <c r="H77" s="62"/>
      <c r="I77" s="115"/>
      <c r="J77" s="9"/>
      <c r="K77" s="70"/>
      <c r="L77" s="52"/>
      <c r="M77" s="8"/>
      <c r="N77" s="7"/>
      <c r="O77" s="218">
        <f t="shared" si="0"/>
        <v>0</v>
      </c>
      <c r="P77" s="218">
        <f>O77+SEPT!P77</f>
        <v>0</v>
      </c>
      <c r="Q77" s="59"/>
      <c r="R77" s="51"/>
      <c r="S77" s="65"/>
      <c r="T77" s="64"/>
      <c r="U77" s="67"/>
      <c r="V77" s="74"/>
      <c r="W77" s="6">
        <f>'CLIENT ENROLLMENT DISCHARGE '!M77</f>
        <v>0</v>
      </c>
      <c r="X77" s="76">
        <f>'CLIENT ENROLLMENT DISCHARGE '!L77</f>
        <v>0</v>
      </c>
      <c r="Y77" s="180" t="s">
        <v>0</v>
      </c>
    </row>
    <row r="78" spans="1:25" ht="50.1" customHeight="1" x14ac:dyDescent="0.25">
      <c r="A78" s="5">
        <v>64</v>
      </c>
      <c r="B78" s="10">
        <f>'CLIENT ENROLLMENT DISCHARGE '!B78</f>
        <v>0</v>
      </c>
      <c r="C78" s="4">
        <f>'CLIENT ENROLLMENT DISCHARGE '!C78</f>
        <v>0</v>
      </c>
      <c r="D78" s="52"/>
      <c r="E78" s="53"/>
      <c r="F78" s="52"/>
      <c r="G78" s="53"/>
      <c r="H78" s="63"/>
      <c r="I78" s="116"/>
      <c r="J78" s="3"/>
      <c r="K78" s="71"/>
      <c r="L78" s="53"/>
      <c r="M78" s="2"/>
      <c r="N78" s="1"/>
      <c r="O78" s="218">
        <f t="shared" si="0"/>
        <v>0</v>
      </c>
      <c r="P78" s="218">
        <f>O78+SEPT!P78</f>
        <v>0</v>
      </c>
      <c r="Q78" s="60"/>
      <c r="R78" s="52"/>
      <c r="S78" s="66"/>
      <c r="T78" s="65"/>
      <c r="U78" s="68"/>
      <c r="V78" s="59"/>
      <c r="W78" s="6">
        <f>'CLIENT ENROLLMENT DISCHARGE '!M78</f>
        <v>0</v>
      </c>
      <c r="X78" s="76">
        <f>'CLIENT ENROLLMENT DISCHARGE '!L78</f>
        <v>0</v>
      </c>
      <c r="Y78" s="180" t="s">
        <v>0</v>
      </c>
    </row>
    <row r="79" spans="1:25" ht="50.1" customHeight="1" x14ac:dyDescent="0.25">
      <c r="A79" s="5">
        <v>65</v>
      </c>
      <c r="B79" s="10">
        <f>'CLIENT ENROLLMENT DISCHARGE '!B79</f>
        <v>0</v>
      </c>
      <c r="C79" s="4">
        <f>'CLIENT ENROLLMENT DISCHARGE '!C79</f>
        <v>0</v>
      </c>
      <c r="D79" s="51"/>
      <c r="E79" s="52"/>
      <c r="F79" s="51"/>
      <c r="G79" s="52"/>
      <c r="H79" s="62"/>
      <c r="I79" s="115"/>
      <c r="J79" s="9"/>
      <c r="K79" s="70"/>
      <c r="L79" s="52"/>
      <c r="M79" s="8"/>
      <c r="N79" s="7"/>
      <c r="O79" s="218">
        <f t="shared" si="0"/>
        <v>0</v>
      </c>
      <c r="P79" s="218">
        <f>O79+SEPT!P79</f>
        <v>0</v>
      </c>
      <c r="Q79" s="59"/>
      <c r="R79" s="51"/>
      <c r="S79" s="65"/>
      <c r="T79" s="64"/>
      <c r="U79" s="67"/>
      <c r="V79" s="74"/>
      <c r="W79" s="6">
        <f>'CLIENT ENROLLMENT DISCHARGE '!M79</f>
        <v>0</v>
      </c>
      <c r="X79" s="76">
        <f>'CLIENT ENROLLMENT DISCHARGE '!L79</f>
        <v>0</v>
      </c>
      <c r="Y79" s="180" t="s">
        <v>0</v>
      </c>
    </row>
    <row r="80" spans="1:25" ht="50.1" customHeight="1" x14ac:dyDescent="0.25">
      <c r="A80" s="5">
        <v>66</v>
      </c>
      <c r="B80" s="10">
        <f>'CLIENT ENROLLMENT DISCHARGE '!B80</f>
        <v>0</v>
      </c>
      <c r="C80" s="4">
        <f>'CLIENT ENROLLMENT DISCHARGE '!C80</f>
        <v>0</v>
      </c>
      <c r="D80" s="52"/>
      <c r="E80" s="53"/>
      <c r="F80" s="52"/>
      <c r="G80" s="53"/>
      <c r="H80" s="63"/>
      <c r="I80" s="116"/>
      <c r="J80" s="3"/>
      <c r="K80" s="71"/>
      <c r="L80" s="53"/>
      <c r="M80" s="2"/>
      <c r="N80" s="1"/>
      <c r="O80" s="218">
        <f t="shared" ref="O80:O143" si="1">K80*N80</f>
        <v>0</v>
      </c>
      <c r="P80" s="218">
        <f>O80+SEPT!P80</f>
        <v>0</v>
      </c>
      <c r="Q80" s="60"/>
      <c r="R80" s="52"/>
      <c r="S80" s="66"/>
      <c r="T80" s="65"/>
      <c r="U80" s="68"/>
      <c r="V80" s="75"/>
      <c r="W80" s="6">
        <f>'CLIENT ENROLLMENT DISCHARGE '!M80</f>
        <v>0</v>
      </c>
      <c r="X80" s="76">
        <f>'CLIENT ENROLLMENT DISCHARGE '!L80</f>
        <v>0</v>
      </c>
      <c r="Y80" s="180" t="s">
        <v>0</v>
      </c>
    </row>
    <row r="81" spans="1:25" ht="50.1" customHeight="1" x14ac:dyDescent="0.25">
      <c r="A81" s="5">
        <v>67</v>
      </c>
      <c r="B81" s="10">
        <f>'CLIENT ENROLLMENT DISCHARGE '!B81</f>
        <v>0</v>
      </c>
      <c r="C81" s="4">
        <f>'CLIENT ENROLLMENT DISCHARGE '!C81</f>
        <v>0</v>
      </c>
      <c r="D81" s="51"/>
      <c r="E81" s="52"/>
      <c r="F81" s="51"/>
      <c r="G81" s="52"/>
      <c r="H81" s="62"/>
      <c r="I81" s="115"/>
      <c r="J81" s="9"/>
      <c r="K81" s="70"/>
      <c r="L81" s="52"/>
      <c r="M81" s="8"/>
      <c r="N81" s="7"/>
      <c r="O81" s="218">
        <f t="shared" si="1"/>
        <v>0</v>
      </c>
      <c r="P81" s="218">
        <f>O81+SEPT!P81</f>
        <v>0</v>
      </c>
      <c r="Q81" s="59"/>
      <c r="R81" s="51"/>
      <c r="S81" s="65"/>
      <c r="T81" s="64"/>
      <c r="U81" s="67"/>
      <c r="V81" s="74"/>
      <c r="W81" s="6">
        <f>'CLIENT ENROLLMENT DISCHARGE '!M81</f>
        <v>0</v>
      </c>
      <c r="X81" s="76">
        <f>'CLIENT ENROLLMENT DISCHARGE '!L81</f>
        <v>0</v>
      </c>
      <c r="Y81" s="180" t="s">
        <v>0</v>
      </c>
    </row>
    <row r="82" spans="1:25" ht="50.1" customHeight="1" x14ac:dyDescent="0.25">
      <c r="A82" s="5">
        <v>68</v>
      </c>
      <c r="B82" s="10">
        <f>'CLIENT ENROLLMENT DISCHARGE '!B82</f>
        <v>0</v>
      </c>
      <c r="C82" s="4">
        <f>'CLIENT ENROLLMENT DISCHARGE '!C82</f>
        <v>0</v>
      </c>
      <c r="D82" s="52"/>
      <c r="E82" s="53"/>
      <c r="F82" s="52"/>
      <c r="G82" s="53"/>
      <c r="H82" s="63"/>
      <c r="I82" s="116"/>
      <c r="J82" s="3"/>
      <c r="K82" s="71"/>
      <c r="L82" s="53"/>
      <c r="M82" s="2"/>
      <c r="N82" s="1"/>
      <c r="O82" s="218">
        <f t="shared" si="1"/>
        <v>0</v>
      </c>
      <c r="P82" s="218">
        <f>O82+SEPT!P82</f>
        <v>0</v>
      </c>
      <c r="Q82" s="60"/>
      <c r="R82" s="52"/>
      <c r="S82" s="66"/>
      <c r="T82" s="65"/>
      <c r="U82" s="68"/>
      <c r="V82" s="59"/>
      <c r="W82" s="6">
        <f>'CLIENT ENROLLMENT DISCHARGE '!M82</f>
        <v>0</v>
      </c>
      <c r="X82" s="76">
        <f>'CLIENT ENROLLMENT DISCHARGE '!L82</f>
        <v>0</v>
      </c>
      <c r="Y82" s="180" t="s">
        <v>0</v>
      </c>
    </row>
    <row r="83" spans="1:25" ht="50.1" customHeight="1" x14ac:dyDescent="0.25">
      <c r="A83" s="5">
        <v>69</v>
      </c>
      <c r="B83" s="10">
        <f>'CLIENT ENROLLMENT DISCHARGE '!B83</f>
        <v>0</v>
      </c>
      <c r="C83" s="4">
        <f>'CLIENT ENROLLMENT DISCHARGE '!C83</f>
        <v>0</v>
      </c>
      <c r="D83" s="51"/>
      <c r="E83" s="52"/>
      <c r="F83" s="51"/>
      <c r="G83" s="52"/>
      <c r="H83" s="62"/>
      <c r="I83" s="115"/>
      <c r="J83" s="9"/>
      <c r="K83" s="70"/>
      <c r="L83" s="52"/>
      <c r="M83" s="8"/>
      <c r="N83" s="7"/>
      <c r="O83" s="218">
        <f t="shared" si="1"/>
        <v>0</v>
      </c>
      <c r="P83" s="218">
        <f>O83+SEPT!P83</f>
        <v>0</v>
      </c>
      <c r="Q83" s="59"/>
      <c r="R83" s="51"/>
      <c r="S83" s="65"/>
      <c r="T83" s="64"/>
      <c r="U83" s="67"/>
      <c r="V83" s="74"/>
      <c r="W83" s="6">
        <f>'CLIENT ENROLLMENT DISCHARGE '!M83</f>
        <v>0</v>
      </c>
      <c r="X83" s="76">
        <f>'CLIENT ENROLLMENT DISCHARGE '!L83</f>
        <v>0</v>
      </c>
      <c r="Y83" s="180" t="s">
        <v>0</v>
      </c>
    </row>
    <row r="84" spans="1:25" ht="50.1" customHeight="1" x14ac:dyDescent="0.25">
      <c r="A84" s="5">
        <v>70</v>
      </c>
      <c r="B84" s="10">
        <f>'CLIENT ENROLLMENT DISCHARGE '!B84</f>
        <v>0</v>
      </c>
      <c r="C84" s="4">
        <f>'CLIENT ENROLLMENT DISCHARGE '!C84</f>
        <v>0</v>
      </c>
      <c r="D84" s="52"/>
      <c r="E84" s="53"/>
      <c r="F84" s="52"/>
      <c r="G84" s="53"/>
      <c r="H84" s="63"/>
      <c r="I84" s="116"/>
      <c r="J84" s="3"/>
      <c r="K84" s="71"/>
      <c r="L84" s="53"/>
      <c r="M84" s="2"/>
      <c r="N84" s="1"/>
      <c r="O84" s="218">
        <f t="shared" si="1"/>
        <v>0</v>
      </c>
      <c r="P84" s="218">
        <f>O84+SEPT!P84</f>
        <v>0</v>
      </c>
      <c r="Q84" s="60"/>
      <c r="R84" s="52"/>
      <c r="S84" s="66"/>
      <c r="T84" s="65"/>
      <c r="U84" s="68"/>
      <c r="V84" s="59"/>
      <c r="W84" s="6">
        <f>'CLIENT ENROLLMENT DISCHARGE '!M84</f>
        <v>0</v>
      </c>
      <c r="X84" s="76">
        <f>'CLIENT ENROLLMENT DISCHARGE '!L84</f>
        <v>0</v>
      </c>
      <c r="Y84" s="180" t="s">
        <v>0</v>
      </c>
    </row>
    <row r="85" spans="1:25" ht="50.1" customHeight="1" x14ac:dyDescent="0.25">
      <c r="A85" s="5">
        <v>71</v>
      </c>
      <c r="B85" s="10">
        <f>'CLIENT ENROLLMENT DISCHARGE '!B85</f>
        <v>0</v>
      </c>
      <c r="C85" s="4">
        <f>'CLIENT ENROLLMENT DISCHARGE '!C85</f>
        <v>0</v>
      </c>
      <c r="D85" s="51"/>
      <c r="E85" s="52"/>
      <c r="F85" s="51"/>
      <c r="G85" s="52"/>
      <c r="H85" s="62"/>
      <c r="I85" s="115"/>
      <c r="J85" s="9"/>
      <c r="K85" s="70"/>
      <c r="L85" s="52"/>
      <c r="M85" s="8"/>
      <c r="N85" s="7"/>
      <c r="O85" s="218">
        <f t="shared" si="1"/>
        <v>0</v>
      </c>
      <c r="P85" s="218">
        <f>O85+SEPT!P85</f>
        <v>0</v>
      </c>
      <c r="Q85" s="59"/>
      <c r="R85" s="51"/>
      <c r="S85" s="65"/>
      <c r="T85" s="64"/>
      <c r="U85" s="67"/>
      <c r="V85" s="74"/>
      <c r="W85" s="6">
        <f>'CLIENT ENROLLMENT DISCHARGE '!M85</f>
        <v>0</v>
      </c>
      <c r="X85" s="76">
        <f>'CLIENT ENROLLMENT DISCHARGE '!L85</f>
        <v>0</v>
      </c>
      <c r="Y85" s="180" t="s">
        <v>0</v>
      </c>
    </row>
    <row r="86" spans="1:25" ht="50.1" customHeight="1" x14ac:dyDescent="0.25">
      <c r="A86" s="5">
        <v>72</v>
      </c>
      <c r="B86" s="10">
        <f>'CLIENT ENROLLMENT DISCHARGE '!B86</f>
        <v>0</v>
      </c>
      <c r="C86" s="4">
        <f>'CLIENT ENROLLMENT DISCHARGE '!C86</f>
        <v>0</v>
      </c>
      <c r="D86" s="52"/>
      <c r="E86" s="53"/>
      <c r="F86" s="52"/>
      <c r="G86" s="53"/>
      <c r="H86" s="63"/>
      <c r="I86" s="116"/>
      <c r="J86" s="3"/>
      <c r="K86" s="71"/>
      <c r="L86" s="53"/>
      <c r="M86" s="2"/>
      <c r="N86" s="1"/>
      <c r="O86" s="218">
        <f t="shared" si="1"/>
        <v>0</v>
      </c>
      <c r="P86" s="218">
        <f>O86+SEPT!P86</f>
        <v>0</v>
      </c>
      <c r="Q86" s="60"/>
      <c r="R86" s="52"/>
      <c r="S86" s="66"/>
      <c r="T86" s="65"/>
      <c r="U86" s="68"/>
      <c r="V86" s="59"/>
      <c r="W86" s="6">
        <f>'CLIENT ENROLLMENT DISCHARGE '!M86</f>
        <v>0</v>
      </c>
      <c r="X86" s="76">
        <f>'CLIENT ENROLLMENT DISCHARGE '!L86</f>
        <v>0</v>
      </c>
      <c r="Y86" s="180" t="s">
        <v>0</v>
      </c>
    </row>
    <row r="87" spans="1:25" ht="50.1" customHeight="1" x14ac:dyDescent="0.25">
      <c r="A87" s="5">
        <v>73</v>
      </c>
      <c r="B87" s="10">
        <f>'CLIENT ENROLLMENT DISCHARGE '!B87</f>
        <v>0</v>
      </c>
      <c r="C87" s="4">
        <f>'CLIENT ENROLLMENT DISCHARGE '!C87</f>
        <v>0</v>
      </c>
      <c r="D87" s="51"/>
      <c r="E87" s="52"/>
      <c r="F87" s="51"/>
      <c r="G87" s="52"/>
      <c r="H87" s="62"/>
      <c r="I87" s="115"/>
      <c r="J87" s="9"/>
      <c r="K87" s="70"/>
      <c r="L87" s="52"/>
      <c r="M87" s="8"/>
      <c r="N87" s="7"/>
      <c r="O87" s="218">
        <f t="shared" si="1"/>
        <v>0</v>
      </c>
      <c r="P87" s="218">
        <f>O87+SEPT!P87</f>
        <v>0</v>
      </c>
      <c r="Q87" s="59"/>
      <c r="R87" s="51"/>
      <c r="S87" s="65"/>
      <c r="T87" s="64"/>
      <c r="U87" s="67"/>
      <c r="V87" s="74"/>
      <c r="W87" s="6">
        <f>'CLIENT ENROLLMENT DISCHARGE '!M87</f>
        <v>0</v>
      </c>
      <c r="X87" s="76">
        <f>'CLIENT ENROLLMENT DISCHARGE '!L87</f>
        <v>0</v>
      </c>
      <c r="Y87" s="180" t="s">
        <v>0</v>
      </c>
    </row>
    <row r="88" spans="1:25" ht="50.1" customHeight="1" x14ac:dyDescent="0.25">
      <c r="A88" s="5">
        <v>74</v>
      </c>
      <c r="B88" s="10">
        <f>'CLIENT ENROLLMENT DISCHARGE '!B88</f>
        <v>0</v>
      </c>
      <c r="C88" s="4">
        <f>'CLIENT ENROLLMENT DISCHARGE '!C88</f>
        <v>0</v>
      </c>
      <c r="D88" s="52"/>
      <c r="E88" s="53"/>
      <c r="F88" s="52"/>
      <c r="G88" s="53"/>
      <c r="H88" s="63"/>
      <c r="I88" s="116"/>
      <c r="J88" s="3"/>
      <c r="K88" s="71"/>
      <c r="L88" s="53"/>
      <c r="M88" s="2"/>
      <c r="N88" s="1"/>
      <c r="O88" s="218">
        <f t="shared" si="1"/>
        <v>0</v>
      </c>
      <c r="P88" s="218">
        <f>O88+SEPT!P88</f>
        <v>0</v>
      </c>
      <c r="Q88" s="60"/>
      <c r="R88" s="52"/>
      <c r="S88" s="66"/>
      <c r="T88" s="65"/>
      <c r="U88" s="68"/>
      <c r="V88" s="59"/>
      <c r="W88" s="6">
        <f>'CLIENT ENROLLMENT DISCHARGE '!M88</f>
        <v>0</v>
      </c>
      <c r="X88" s="76">
        <f>'CLIENT ENROLLMENT DISCHARGE '!L88</f>
        <v>0</v>
      </c>
      <c r="Y88" s="180" t="s">
        <v>0</v>
      </c>
    </row>
    <row r="89" spans="1:25" ht="50.1" customHeight="1" x14ac:dyDescent="0.25">
      <c r="A89" s="5">
        <v>75</v>
      </c>
      <c r="B89" s="10">
        <f>'CLIENT ENROLLMENT DISCHARGE '!B89</f>
        <v>0</v>
      </c>
      <c r="C89" s="4">
        <f>'CLIENT ENROLLMENT DISCHARGE '!C89</f>
        <v>0</v>
      </c>
      <c r="D89" s="51"/>
      <c r="E89" s="52"/>
      <c r="F89" s="51"/>
      <c r="G89" s="52"/>
      <c r="H89" s="62"/>
      <c r="I89" s="115"/>
      <c r="J89" s="9"/>
      <c r="K89" s="70"/>
      <c r="L89" s="52"/>
      <c r="M89" s="8"/>
      <c r="N89" s="7"/>
      <c r="O89" s="218">
        <f t="shared" si="1"/>
        <v>0</v>
      </c>
      <c r="P89" s="218">
        <f>O89+SEPT!P89</f>
        <v>0</v>
      </c>
      <c r="Q89" s="59"/>
      <c r="R89" s="51"/>
      <c r="S89" s="65"/>
      <c r="T89" s="64"/>
      <c r="U89" s="67"/>
      <c r="V89" s="74"/>
      <c r="W89" s="6">
        <f>'CLIENT ENROLLMENT DISCHARGE '!M89</f>
        <v>0</v>
      </c>
      <c r="X89" s="76">
        <f>'CLIENT ENROLLMENT DISCHARGE '!L89</f>
        <v>0</v>
      </c>
      <c r="Y89" s="180" t="s">
        <v>0</v>
      </c>
    </row>
    <row r="90" spans="1:25" ht="50.1" customHeight="1" x14ac:dyDescent="0.25">
      <c r="A90" s="5">
        <v>76</v>
      </c>
      <c r="B90" s="10">
        <f>'CLIENT ENROLLMENT DISCHARGE '!B90</f>
        <v>0</v>
      </c>
      <c r="C90" s="4">
        <f>'CLIENT ENROLLMENT DISCHARGE '!C90</f>
        <v>0</v>
      </c>
      <c r="D90" s="52"/>
      <c r="E90" s="53"/>
      <c r="F90" s="52"/>
      <c r="G90" s="53"/>
      <c r="H90" s="63"/>
      <c r="I90" s="116"/>
      <c r="J90" s="3"/>
      <c r="K90" s="71"/>
      <c r="L90" s="53"/>
      <c r="M90" s="2"/>
      <c r="N90" s="1"/>
      <c r="O90" s="218">
        <f t="shared" si="1"/>
        <v>0</v>
      </c>
      <c r="P90" s="218">
        <f>O90+SEPT!P90</f>
        <v>0</v>
      </c>
      <c r="Q90" s="60"/>
      <c r="R90" s="52"/>
      <c r="S90" s="66"/>
      <c r="T90" s="65"/>
      <c r="U90" s="68"/>
      <c r="V90" s="75"/>
      <c r="W90" s="6">
        <f>'CLIENT ENROLLMENT DISCHARGE '!M90</f>
        <v>0</v>
      </c>
      <c r="X90" s="76">
        <f>'CLIENT ENROLLMENT DISCHARGE '!L90</f>
        <v>0</v>
      </c>
      <c r="Y90" s="180" t="s">
        <v>0</v>
      </c>
    </row>
    <row r="91" spans="1:25" ht="50.1" customHeight="1" x14ac:dyDescent="0.25">
      <c r="A91" s="5">
        <v>77</v>
      </c>
      <c r="B91" s="10">
        <f>'CLIENT ENROLLMENT DISCHARGE '!B91</f>
        <v>0</v>
      </c>
      <c r="C91" s="4">
        <f>'CLIENT ENROLLMENT DISCHARGE '!C91</f>
        <v>0</v>
      </c>
      <c r="D91" s="51"/>
      <c r="E91" s="52"/>
      <c r="F91" s="51"/>
      <c r="G91" s="52"/>
      <c r="H91" s="62"/>
      <c r="I91" s="115"/>
      <c r="J91" s="9"/>
      <c r="K91" s="70"/>
      <c r="L91" s="52"/>
      <c r="M91" s="8"/>
      <c r="N91" s="7"/>
      <c r="O91" s="218">
        <f t="shared" si="1"/>
        <v>0</v>
      </c>
      <c r="P91" s="218">
        <f>O91+SEPT!P91</f>
        <v>0</v>
      </c>
      <c r="Q91" s="59"/>
      <c r="R91" s="51"/>
      <c r="S91" s="65"/>
      <c r="T91" s="64"/>
      <c r="U91" s="67"/>
      <c r="V91" s="74"/>
      <c r="W91" s="6">
        <f>'CLIENT ENROLLMENT DISCHARGE '!M91</f>
        <v>0</v>
      </c>
      <c r="X91" s="76">
        <f>'CLIENT ENROLLMENT DISCHARGE '!L91</f>
        <v>0</v>
      </c>
      <c r="Y91" s="180" t="s">
        <v>0</v>
      </c>
    </row>
    <row r="92" spans="1:25" ht="50.1" customHeight="1" x14ac:dyDescent="0.25">
      <c r="A92" s="5">
        <v>78</v>
      </c>
      <c r="B92" s="10">
        <f>'CLIENT ENROLLMENT DISCHARGE '!B92</f>
        <v>0</v>
      </c>
      <c r="C92" s="4">
        <f>'CLIENT ENROLLMENT DISCHARGE '!C92</f>
        <v>0</v>
      </c>
      <c r="D92" s="52"/>
      <c r="E92" s="53"/>
      <c r="F92" s="52"/>
      <c r="G92" s="53"/>
      <c r="H92" s="63"/>
      <c r="I92" s="116"/>
      <c r="J92" s="3"/>
      <c r="K92" s="71"/>
      <c r="L92" s="53"/>
      <c r="M92" s="2"/>
      <c r="N92" s="1"/>
      <c r="O92" s="218">
        <f t="shared" si="1"/>
        <v>0</v>
      </c>
      <c r="P92" s="218">
        <f>O92+SEPT!P92</f>
        <v>0</v>
      </c>
      <c r="Q92" s="60"/>
      <c r="R92" s="52"/>
      <c r="S92" s="66"/>
      <c r="T92" s="65"/>
      <c r="U92" s="68"/>
      <c r="V92" s="59"/>
      <c r="W92" s="6">
        <f>'CLIENT ENROLLMENT DISCHARGE '!M92</f>
        <v>0</v>
      </c>
      <c r="X92" s="76">
        <f>'CLIENT ENROLLMENT DISCHARGE '!L92</f>
        <v>0</v>
      </c>
      <c r="Y92" s="180" t="s">
        <v>0</v>
      </c>
    </row>
    <row r="93" spans="1:25" ht="50.1" customHeight="1" x14ac:dyDescent="0.25">
      <c r="A93" s="5">
        <v>79</v>
      </c>
      <c r="B93" s="10">
        <f>'CLIENT ENROLLMENT DISCHARGE '!B93</f>
        <v>0</v>
      </c>
      <c r="C93" s="4">
        <f>'CLIENT ENROLLMENT DISCHARGE '!C93</f>
        <v>0</v>
      </c>
      <c r="D93" s="51"/>
      <c r="E93" s="52"/>
      <c r="F93" s="51"/>
      <c r="G93" s="52"/>
      <c r="H93" s="62"/>
      <c r="I93" s="115"/>
      <c r="J93" s="9"/>
      <c r="K93" s="70"/>
      <c r="L93" s="52"/>
      <c r="M93" s="8"/>
      <c r="N93" s="7"/>
      <c r="O93" s="218">
        <f t="shared" si="1"/>
        <v>0</v>
      </c>
      <c r="P93" s="218">
        <f>O93+SEPT!P93</f>
        <v>0</v>
      </c>
      <c r="Q93" s="59"/>
      <c r="R93" s="51"/>
      <c r="S93" s="65"/>
      <c r="T93" s="64"/>
      <c r="U93" s="67"/>
      <c r="V93" s="74"/>
      <c r="W93" s="6">
        <f>'CLIENT ENROLLMENT DISCHARGE '!M93</f>
        <v>0</v>
      </c>
      <c r="X93" s="76">
        <f>'CLIENT ENROLLMENT DISCHARGE '!L93</f>
        <v>0</v>
      </c>
      <c r="Y93" s="180" t="s">
        <v>0</v>
      </c>
    </row>
    <row r="94" spans="1:25" ht="50.1" customHeight="1" x14ac:dyDescent="0.25">
      <c r="A94" s="5">
        <v>80</v>
      </c>
      <c r="B94" s="10">
        <f>'CLIENT ENROLLMENT DISCHARGE '!B94</f>
        <v>0</v>
      </c>
      <c r="C94" s="4">
        <f>'CLIENT ENROLLMENT DISCHARGE '!C94</f>
        <v>0</v>
      </c>
      <c r="D94" s="52"/>
      <c r="E94" s="53"/>
      <c r="F94" s="52"/>
      <c r="G94" s="53"/>
      <c r="H94" s="63"/>
      <c r="I94" s="116"/>
      <c r="J94" s="3"/>
      <c r="K94" s="71"/>
      <c r="L94" s="53"/>
      <c r="M94" s="2"/>
      <c r="N94" s="1"/>
      <c r="O94" s="218">
        <f t="shared" si="1"/>
        <v>0</v>
      </c>
      <c r="P94" s="218">
        <f>O94+SEPT!P94</f>
        <v>0</v>
      </c>
      <c r="Q94" s="60"/>
      <c r="R94" s="52"/>
      <c r="S94" s="66"/>
      <c r="T94" s="65"/>
      <c r="U94" s="68"/>
      <c r="V94" s="59"/>
      <c r="W94" s="6">
        <f>'CLIENT ENROLLMENT DISCHARGE '!M94</f>
        <v>0</v>
      </c>
      <c r="X94" s="76">
        <f>'CLIENT ENROLLMENT DISCHARGE '!L94</f>
        <v>0</v>
      </c>
      <c r="Y94" s="180" t="s">
        <v>0</v>
      </c>
    </row>
    <row r="95" spans="1:25" ht="50.1" customHeight="1" x14ac:dyDescent="0.25">
      <c r="A95" s="5">
        <v>81</v>
      </c>
      <c r="B95" s="10">
        <f>'CLIENT ENROLLMENT DISCHARGE '!B95</f>
        <v>0</v>
      </c>
      <c r="C95" s="4">
        <f>'CLIENT ENROLLMENT DISCHARGE '!C95</f>
        <v>0</v>
      </c>
      <c r="D95" s="51"/>
      <c r="E95" s="52"/>
      <c r="F95" s="51"/>
      <c r="G95" s="52"/>
      <c r="H95" s="62"/>
      <c r="I95" s="115"/>
      <c r="J95" s="9"/>
      <c r="K95" s="70"/>
      <c r="L95" s="52"/>
      <c r="M95" s="8"/>
      <c r="N95" s="7"/>
      <c r="O95" s="218">
        <f t="shared" si="1"/>
        <v>0</v>
      </c>
      <c r="P95" s="218">
        <f>O95+SEPT!P95</f>
        <v>0</v>
      </c>
      <c r="Q95" s="59"/>
      <c r="R95" s="51"/>
      <c r="S95" s="65"/>
      <c r="T95" s="64"/>
      <c r="U95" s="67"/>
      <c r="V95" s="74"/>
      <c r="W95" s="6">
        <f>'CLIENT ENROLLMENT DISCHARGE '!M95</f>
        <v>0</v>
      </c>
      <c r="X95" s="76">
        <f>'CLIENT ENROLLMENT DISCHARGE '!L95</f>
        <v>0</v>
      </c>
      <c r="Y95" s="180" t="s">
        <v>0</v>
      </c>
    </row>
    <row r="96" spans="1:25" ht="50.1" customHeight="1" x14ac:dyDescent="0.25">
      <c r="A96" s="5">
        <v>82</v>
      </c>
      <c r="B96" s="10">
        <f>'CLIENT ENROLLMENT DISCHARGE '!B96</f>
        <v>0</v>
      </c>
      <c r="C96" s="4">
        <f>'CLIENT ENROLLMENT DISCHARGE '!C96</f>
        <v>0</v>
      </c>
      <c r="D96" s="52"/>
      <c r="E96" s="53"/>
      <c r="F96" s="52"/>
      <c r="G96" s="53"/>
      <c r="H96" s="63"/>
      <c r="I96" s="116"/>
      <c r="J96" s="3"/>
      <c r="K96" s="71"/>
      <c r="L96" s="53"/>
      <c r="M96" s="2"/>
      <c r="N96" s="1"/>
      <c r="O96" s="218">
        <f t="shared" si="1"/>
        <v>0</v>
      </c>
      <c r="P96" s="218">
        <f>O96+SEPT!P96</f>
        <v>0</v>
      </c>
      <c r="Q96" s="60"/>
      <c r="R96" s="52"/>
      <c r="S96" s="66"/>
      <c r="T96" s="65"/>
      <c r="U96" s="68"/>
      <c r="V96" s="59"/>
      <c r="W96" s="6">
        <f>'CLIENT ENROLLMENT DISCHARGE '!M96</f>
        <v>0</v>
      </c>
      <c r="X96" s="76">
        <f>'CLIENT ENROLLMENT DISCHARGE '!L96</f>
        <v>0</v>
      </c>
      <c r="Y96" s="180" t="s">
        <v>0</v>
      </c>
    </row>
    <row r="97" spans="1:25" ht="50.1" customHeight="1" x14ac:dyDescent="0.25">
      <c r="A97" s="5">
        <v>83</v>
      </c>
      <c r="B97" s="10">
        <f>'CLIENT ENROLLMENT DISCHARGE '!B97</f>
        <v>0</v>
      </c>
      <c r="C97" s="4">
        <f>'CLIENT ENROLLMENT DISCHARGE '!C97</f>
        <v>0</v>
      </c>
      <c r="D97" s="51"/>
      <c r="E97" s="52"/>
      <c r="F97" s="51"/>
      <c r="G97" s="52"/>
      <c r="H97" s="62"/>
      <c r="I97" s="115"/>
      <c r="J97" s="9"/>
      <c r="K97" s="70"/>
      <c r="L97" s="52"/>
      <c r="M97" s="8"/>
      <c r="N97" s="7"/>
      <c r="O97" s="218">
        <f t="shared" si="1"/>
        <v>0</v>
      </c>
      <c r="P97" s="218">
        <f>O97+SEPT!P97</f>
        <v>0</v>
      </c>
      <c r="Q97" s="59"/>
      <c r="R97" s="51"/>
      <c r="S97" s="65"/>
      <c r="T97" s="64"/>
      <c r="U97" s="67"/>
      <c r="V97" s="74"/>
      <c r="W97" s="6">
        <f>'CLIENT ENROLLMENT DISCHARGE '!M97</f>
        <v>0</v>
      </c>
      <c r="X97" s="76">
        <f>'CLIENT ENROLLMENT DISCHARGE '!L97</f>
        <v>0</v>
      </c>
      <c r="Y97" s="180" t="s">
        <v>0</v>
      </c>
    </row>
    <row r="98" spans="1:25" ht="50.1" customHeight="1" x14ac:dyDescent="0.25">
      <c r="A98" s="5">
        <v>84</v>
      </c>
      <c r="B98" s="10">
        <f>'CLIENT ENROLLMENT DISCHARGE '!B98</f>
        <v>0</v>
      </c>
      <c r="C98" s="4">
        <f>'CLIENT ENROLLMENT DISCHARGE '!C98</f>
        <v>0</v>
      </c>
      <c r="D98" s="52"/>
      <c r="E98" s="53"/>
      <c r="F98" s="52"/>
      <c r="G98" s="53"/>
      <c r="H98" s="63"/>
      <c r="I98" s="116"/>
      <c r="J98" s="3"/>
      <c r="K98" s="71"/>
      <c r="L98" s="53"/>
      <c r="M98" s="2"/>
      <c r="N98" s="1"/>
      <c r="O98" s="218">
        <f t="shared" si="1"/>
        <v>0</v>
      </c>
      <c r="P98" s="218">
        <f>O98+SEPT!P98</f>
        <v>0</v>
      </c>
      <c r="Q98" s="60"/>
      <c r="R98" s="52"/>
      <c r="S98" s="66"/>
      <c r="T98" s="65"/>
      <c r="U98" s="68"/>
      <c r="V98" s="59"/>
      <c r="W98" s="6">
        <f>'CLIENT ENROLLMENT DISCHARGE '!M98</f>
        <v>0</v>
      </c>
      <c r="X98" s="76">
        <f>'CLIENT ENROLLMENT DISCHARGE '!L98</f>
        <v>0</v>
      </c>
      <c r="Y98" s="180" t="s">
        <v>0</v>
      </c>
    </row>
    <row r="99" spans="1:25" ht="50.1" customHeight="1" x14ac:dyDescent="0.25">
      <c r="A99" s="5">
        <v>85</v>
      </c>
      <c r="B99" s="10">
        <f>'CLIENT ENROLLMENT DISCHARGE '!B99</f>
        <v>0</v>
      </c>
      <c r="C99" s="4">
        <f>'CLIENT ENROLLMENT DISCHARGE '!C99</f>
        <v>0</v>
      </c>
      <c r="D99" s="51"/>
      <c r="E99" s="52"/>
      <c r="F99" s="51"/>
      <c r="G99" s="52"/>
      <c r="H99" s="62"/>
      <c r="I99" s="115"/>
      <c r="J99" s="9"/>
      <c r="K99" s="70"/>
      <c r="L99" s="52"/>
      <c r="M99" s="8"/>
      <c r="N99" s="7"/>
      <c r="O99" s="218">
        <f t="shared" si="1"/>
        <v>0</v>
      </c>
      <c r="P99" s="218">
        <f>O99+SEPT!P99</f>
        <v>0</v>
      </c>
      <c r="Q99" s="59"/>
      <c r="R99" s="51"/>
      <c r="S99" s="65"/>
      <c r="T99" s="64"/>
      <c r="U99" s="67"/>
      <c r="V99" s="74"/>
      <c r="W99" s="6">
        <f>'CLIENT ENROLLMENT DISCHARGE '!M99</f>
        <v>0</v>
      </c>
      <c r="X99" s="76">
        <f>'CLIENT ENROLLMENT DISCHARGE '!L99</f>
        <v>0</v>
      </c>
      <c r="Y99" s="180" t="s">
        <v>0</v>
      </c>
    </row>
    <row r="100" spans="1:25" ht="50.1" customHeight="1" x14ac:dyDescent="0.25">
      <c r="A100" s="5">
        <v>86</v>
      </c>
      <c r="B100" s="10">
        <f>'CLIENT ENROLLMENT DISCHARGE '!B100</f>
        <v>0</v>
      </c>
      <c r="C100" s="4">
        <f>'CLIENT ENROLLMENT DISCHARGE '!C100</f>
        <v>0</v>
      </c>
      <c r="D100" s="52"/>
      <c r="E100" s="53"/>
      <c r="F100" s="52"/>
      <c r="G100" s="53"/>
      <c r="H100" s="63"/>
      <c r="I100" s="116"/>
      <c r="J100" s="3"/>
      <c r="K100" s="71"/>
      <c r="L100" s="53"/>
      <c r="M100" s="2"/>
      <c r="N100" s="1"/>
      <c r="O100" s="218">
        <f t="shared" si="1"/>
        <v>0</v>
      </c>
      <c r="P100" s="218">
        <f>O100+SEPT!P100</f>
        <v>0</v>
      </c>
      <c r="Q100" s="60"/>
      <c r="R100" s="52"/>
      <c r="S100" s="66"/>
      <c r="T100" s="65"/>
      <c r="U100" s="68"/>
      <c r="V100" s="75"/>
      <c r="W100" s="6">
        <f>'CLIENT ENROLLMENT DISCHARGE '!M100</f>
        <v>0</v>
      </c>
      <c r="X100" s="76">
        <f>'CLIENT ENROLLMENT DISCHARGE '!L100</f>
        <v>0</v>
      </c>
      <c r="Y100" s="180" t="s">
        <v>0</v>
      </c>
    </row>
    <row r="101" spans="1:25" ht="50.1" customHeight="1" x14ac:dyDescent="0.25">
      <c r="A101" s="5">
        <v>87</v>
      </c>
      <c r="B101" s="10">
        <f>'CLIENT ENROLLMENT DISCHARGE '!B101</f>
        <v>0</v>
      </c>
      <c r="C101" s="4">
        <f>'CLIENT ENROLLMENT DISCHARGE '!C101</f>
        <v>0</v>
      </c>
      <c r="D101" s="51"/>
      <c r="E101" s="52"/>
      <c r="F101" s="51"/>
      <c r="G101" s="52"/>
      <c r="H101" s="62"/>
      <c r="I101" s="115"/>
      <c r="J101" s="9"/>
      <c r="K101" s="70"/>
      <c r="L101" s="52"/>
      <c r="M101" s="8"/>
      <c r="N101" s="7"/>
      <c r="O101" s="218">
        <f t="shared" si="1"/>
        <v>0</v>
      </c>
      <c r="P101" s="218">
        <f>O101+SEPT!P101</f>
        <v>0</v>
      </c>
      <c r="Q101" s="59"/>
      <c r="R101" s="51"/>
      <c r="S101" s="65"/>
      <c r="T101" s="64"/>
      <c r="U101" s="67"/>
      <c r="V101" s="74"/>
      <c r="W101" s="6">
        <f>'CLIENT ENROLLMENT DISCHARGE '!M101</f>
        <v>0</v>
      </c>
      <c r="X101" s="76">
        <f>'CLIENT ENROLLMENT DISCHARGE '!L101</f>
        <v>0</v>
      </c>
      <c r="Y101" s="180" t="s">
        <v>0</v>
      </c>
    </row>
    <row r="102" spans="1:25" ht="50.1" customHeight="1" x14ac:dyDescent="0.25">
      <c r="A102" s="5">
        <v>88</v>
      </c>
      <c r="B102" s="10">
        <f>'CLIENT ENROLLMENT DISCHARGE '!B102</f>
        <v>0</v>
      </c>
      <c r="C102" s="4">
        <f>'CLIENT ENROLLMENT DISCHARGE '!C102</f>
        <v>0</v>
      </c>
      <c r="D102" s="52"/>
      <c r="E102" s="53"/>
      <c r="F102" s="52"/>
      <c r="G102" s="53"/>
      <c r="H102" s="63"/>
      <c r="I102" s="116"/>
      <c r="J102" s="3"/>
      <c r="K102" s="71"/>
      <c r="L102" s="53"/>
      <c r="M102" s="2"/>
      <c r="N102" s="1"/>
      <c r="O102" s="218">
        <f t="shared" si="1"/>
        <v>0</v>
      </c>
      <c r="P102" s="218">
        <f>O102+SEPT!P102</f>
        <v>0</v>
      </c>
      <c r="Q102" s="60"/>
      <c r="R102" s="52"/>
      <c r="S102" s="66"/>
      <c r="T102" s="65"/>
      <c r="U102" s="68"/>
      <c r="V102" s="59"/>
      <c r="W102" s="6">
        <f>'CLIENT ENROLLMENT DISCHARGE '!M102</f>
        <v>0</v>
      </c>
      <c r="X102" s="76">
        <f>'CLIENT ENROLLMENT DISCHARGE '!L102</f>
        <v>0</v>
      </c>
      <c r="Y102" s="180" t="s">
        <v>0</v>
      </c>
    </row>
    <row r="103" spans="1:25" ht="50.1" customHeight="1" x14ac:dyDescent="0.25">
      <c r="A103" s="5">
        <v>89</v>
      </c>
      <c r="B103" s="10">
        <f>'CLIENT ENROLLMENT DISCHARGE '!B103</f>
        <v>0</v>
      </c>
      <c r="C103" s="4">
        <f>'CLIENT ENROLLMENT DISCHARGE '!C103</f>
        <v>0</v>
      </c>
      <c r="D103" s="51"/>
      <c r="E103" s="52"/>
      <c r="F103" s="51"/>
      <c r="G103" s="52"/>
      <c r="H103" s="62"/>
      <c r="I103" s="115"/>
      <c r="J103" s="9"/>
      <c r="K103" s="70"/>
      <c r="L103" s="52"/>
      <c r="M103" s="8"/>
      <c r="N103" s="7"/>
      <c r="O103" s="218">
        <f t="shared" si="1"/>
        <v>0</v>
      </c>
      <c r="P103" s="218">
        <f>O103+SEPT!P103</f>
        <v>0</v>
      </c>
      <c r="Q103" s="59"/>
      <c r="R103" s="51"/>
      <c r="S103" s="65"/>
      <c r="T103" s="64"/>
      <c r="U103" s="67"/>
      <c r="V103" s="74"/>
      <c r="W103" s="6">
        <f>'CLIENT ENROLLMENT DISCHARGE '!M103</f>
        <v>0</v>
      </c>
      <c r="X103" s="76">
        <f>'CLIENT ENROLLMENT DISCHARGE '!L103</f>
        <v>0</v>
      </c>
      <c r="Y103" s="180" t="s">
        <v>0</v>
      </c>
    </row>
    <row r="104" spans="1:25" ht="50.1" customHeight="1" x14ac:dyDescent="0.25">
      <c r="A104" s="5">
        <v>90</v>
      </c>
      <c r="B104" s="10">
        <f>'CLIENT ENROLLMENT DISCHARGE '!B104</f>
        <v>0</v>
      </c>
      <c r="C104" s="4">
        <f>'CLIENT ENROLLMENT DISCHARGE '!C104</f>
        <v>0</v>
      </c>
      <c r="D104" s="52"/>
      <c r="E104" s="53"/>
      <c r="F104" s="52"/>
      <c r="G104" s="53"/>
      <c r="H104" s="63"/>
      <c r="I104" s="116"/>
      <c r="J104" s="3"/>
      <c r="K104" s="71"/>
      <c r="L104" s="53"/>
      <c r="M104" s="2"/>
      <c r="N104" s="1"/>
      <c r="O104" s="218">
        <f t="shared" si="1"/>
        <v>0</v>
      </c>
      <c r="P104" s="218">
        <f>O104+SEPT!P104</f>
        <v>0</v>
      </c>
      <c r="Q104" s="60"/>
      <c r="R104" s="52"/>
      <c r="S104" s="66"/>
      <c r="T104" s="65"/>
      <c r="U104" s="68"/>
      <c r="V104" s="59"/>
      <c r="W104" s="6">
        <f>'CLIENT ENROLLMENT DISCHARGE '!M104</f>
        <v>0</v>
      </c>
      <c r="X104" s="76">
        <f>'CLIENT ENROLLMENT DISCHARGE '!L104</f>
        <v>0</v>
      </c>
      <c r="Y104" s="180" t="s">
        <v>0</v>
      </c>
    </row>
    <row r="105" spans="1:25" ht="50.1" customHeight="1" x14ac:dyDescent="0.25">
      <c r="A105" s="5">
        <v>91</v>
      </c>
      <c r="B105" s="10">
        <f>'CLIENT ENROLLMENT DISCHARGE '!B105</f>
        <v>0</v>
      </c>
      <c r="C105" s="4">
        <f>'CLIENT ENROLLMENT DISCHARGE '!C105</f>
        <v>0</v>
      </c>
      <c r="D105" s="51"/>
      <c r="E105" s="52"/>
      <c r="F105" s="51"/>
      <c r="G105" s="52"/>
      <c r="H105" s="62"/>
      <c r="I105" s="115"/>
      <c r="J105" s="9"/>
      <c r="K105" s="70"/>
      <c r="L105" s="52"/>
      <c r="M105" s="8"/>
      <c r="N105" s="7"/>
      <c r="O105" s="218">
        <f t="shared" si="1"/>
        <v>0</v>
      </c>
      <c r="P105" s="218">
        <f>O105+SEPT!P105</f>
        <v>0</v>
      </c>
      <c r="Q105" s="59"/>
      <c r="R105" s="51"/>
      <c r="S105" s="65"/>
      <c r="T105" s="64"/>
      <c r="U105" s="67"/>
      <c r="V105" s="74"/>
      <c r="W105" s="6">
        <f>'CLIENT ENROLLMENT DISCHARGE '!M105</f>
        <v>0</v>
      </c>
      <c r="X105" s="76">
        <f>'CLIENT ENROLLMENT DISCHARGE '!L105</f>
        <v>0</v>
      </c>
      <c r="Y105" s="180" t="s">
        <v>0</v>
      </c>
    </row>
    <row r="106" spans="1:25" ht="50.1" customHeight="1" x14ac:dyDescent="0.25">
      <c r="A106" s="5">
        <v>92</v>
      </c>
      <c r="B106" s="10">
        <f>'CLIENT ENROLLMENT DISCHARGE '!B106</f>
        <v>0</v>
      </c>
      <c r="C106" s="4">
        <f>'CLIENT ENROLLMENT DISCHARGE '!C106</f>
        <v>0</v>
      </c>
      <c r="D106" s="52"/>
      <c r="E106" s="53"/>
      <c r="F106" s="52"/>
      <c r="G106" s="53"/>
      <c r="H106" s="63"/>
      <c r="I106" s="116"/>
      <c r="J106" s="3"/>
      <c r="K106" s="71"/>
      <c r="L106" s="53"/>
      <c r="M106" s="2"/>
      <c r="N106" s="1"/>
      <c r="O106" s="218">
        <f t="shared" si="1"/>
        <v>0</v>
      </c>
      <c r="P106" s="218">
        <f>O106+SEPT!P106</f>
        <v>0</v>
      </c>
      <c r="Q106" s="60"/>
      <c r="R106" s="52"/>
      <c r="S106" s="66"/>
      <c r="T106" s="65"/>
      <c r="U106" s="68"/>
      <c r="V106" s="59"/>
      <c r="W106" s="6">
        <f>'CLIENT ENROLLMENT DISCHARGE '!M106</f>
        <v>0</v>
      </c>
      <c r="X106" s="76">
        <f>'CLIENT ENROLLMENT DISCHARGE '!L106</f>
        <v>0</v>
      </c>
      <c r="Y106" s="180" t="s">
        <v>0</v>
      </c>
    </row>
    <row r="107" spans="1:25" ht="50.1" customHeight="1" x14ac:dyDescent="0.25">
      <c r="A107" s="5">
        <v>93</v>
      </c>
      <c r="B107" s="10">
        <f>'CLIENT ENROLLMENT DISCHARGE '!B107</f>
        <v>0</v>
      </c>
      <c r="C107" s="4">
        <f>'CLIENT ENROLLMENT DISCHARGE '!C107</f>
        <v>0</v>
      </c>
      <c r="D107" s="51"/>
      <c r="E107" s="52"/>
      <c r="F107" s="51"/>
      <c r="G107" s="52"/>
      <c r="H107" s="62"/>
      <c r="I107" s="115"/>
      <c r="J107" s="9"/>
      <c r="K107" s="70"/>
      <c r="L107" s="52"/>
      <c r="M107" s="8"/>
      <c r="N107" s="7"/>
      <c r="O107" s="218">
        <f t="shared" si="1"/>
        <v>0</v>
      </c>
      <c r="P107" s="218">
        <f>O107+SEPT!P107</f>
        <v>0</v>
      </c>
      <c r="Q107" s="59"/>
      <c r="R107" s="51"/>
      <c r="S107" s="65"/>
      <c r="T107" s="64"/>
      <c r="U107" s="67"/>
      <c r="V107" s="74"/>
      <c r="W107" s="6">
        <f>'CLIENT ENROLLMENT DISCHARGE '!M107</f>
        <v>0</v>
      </c>
      <c r="X107" s="76">
        <f>'CLIENT ENROLLMENT DISCHARGE '!L107</f>
        <v>0</v>
      </c>
      <c r="Y107" s="180" t="s">
        <v>0</v>
      </c>
    </row>
    <row r="108" spans="1:25" ht="50.1" customHeight="1" x14ac:dyDescent="0.25">
      <c r="A108" s="5">
        <v>94</v>
      </c>
      <c r="B108" s="10">
        <f>'CLIENT ENROLLMENT DISCHARGE '!B108</f>
        <v>0</v>
      </c>
      <c r="C108" s="4">
        <f>'CLIENT ENROLLMENT DISCHARGE '!C108</f>
        <v>0</v>
      </c>
      <c r="D108" s="52"/>
      <c r="E108" s="53"/>
      <c r="F108" s="52"/>
      <c r="G108" s="53"/>
      <c r="H108" s="63"/>
      <c r="I108" s="116"/>
      <c r="J108" s="3"/>
      <c r="K108" s="71"/>
      <c r="L108" s="53"/>
      <c r="M108" s="2"/>
      <c r="N108" s="1"/>
      <c r="O108" s="218">
        <f t="shared" si="1"/>
        <v>0</v>
      </c>
      <c r="P108" s="218">
        <f>O108+SEPT!P108</f>
        <v>0</v>
      </c>
      <c r="Q108" s="60"/>
      <c r="R108" s="52"/>
      <c r="S108" s="66"/>
      <c r="T108" s="65"/>
      <c r="U108" s="68"/>
      <c r="V108" s="59"/>
      <c r="W108" s="6">
        <f>'CLIENT ENROLLMENT DISCHARGE '!M108</f>
        <v>0</v>
      </c>
      <c r="X108" s="76">
        <f>'CLIENT ENROLLMENT DISCHARGE '!L108</f>
        <v>0</v>
      </c>
      <c r="Y108" s="180" t="s">
        <v>0</v>
      </c>
    </row>
    <row r="109" spans="1:25" ht="50.1" customHeight="1" x14ac:dyDescent="0.25">
      <c r="A109" s="5">
        <v>95</v>
      </c>
      <c r="B109" s="10">
        <f>'CLIENT ENROLLMENT DISCHARGE '!B109</f>
        <v>0</v>
      </c>
      <c r="C109" s="4">
        <f>'CLIENT ENROLLMENT DISCHARGE '!C109</f>
        <v>0</v>
      </c>
      <c r="D109" s="51"/>
      <c r="E109" s="52"/>
      <c r="F109" s="51"/>
      <c r="G109" s="52"/>
      <c r="H109" s="62"/>
      <c r="I109" s="115"/>
      <c r="J109" s="9"/>
      <c r="K109" s="70"/>
      <c r="L109" s="52"/>
      <c r="M109" s="8"/>
      <c r="N109" s="7"/>
      <c r="O109" s="218">
        <f t="shared" si="1"/>
        <v>0</v>
      </c>
      <c r="P109" s="218">
        <f>O109+SEPT!P109</f>
        <v>0</v>
      </c>
      <c r="Q109" s="59"/>
      <c r="R109" s="51"/>
      <c r="S109" s="65"/>
      <c r="T109" s="64"/>
      <c r="U109" s="67"/>
      <c r="V109" s="74"/>
      <c r="W109" s="6">
        <f>'CLIENT ENROLLMENT DISCHARGE '!M109</f>
        <v>0</v>
      </c>
      <c r="X109" s="76">
        <f>'CLIENT ENROLLMENT DISCHARGE '!L109</f>
        <v>0</v>
      </c>
      <c r="Y109" s="180" t="s">
        <v>0</v>
      </c>
    </row>
    <row r="110" spans="1:25" ht="50.1" customHeight="1" x14ac:dyDescent="0.25">
      <c r="A110" s="5">
        <v>96</v>
      </c>
      <c r="B110" s="10">
        <f>'CLIENT ENROLLMENT DISCHARGE '!B110</f>
        <v>0</v>
      </c>
      <c r="C110" s="4">
        <f>'CLIENT ENROLLMENT DISCHARGE '!C110</f>
        <v>0</v>
      </c>
      <c r="D110" s="52"/>
      <c r="E110" s="53"/>
      <c r="F110" s="52"/>
      <c r="G110" s="53"/>
      <c r="H110" s="63"/>
      <c r="I110" s="116"/>
      <c r="J110" s="3"/>
      <c r="K110" s="71"/>
      <c r="L110" s="53"/>
      <c r="M110" s="2"/>
      <c r="N110" s="1"/>
      <c r="O110" s="218">
        <f t="shared" si="1"/>
        <v>0</v>
      </c>
      <c r="P110" s="218">
        <f>O110+SEPT!P110</f>
        <v>0</v>
      </c>
      <c r="Q110" s="60"/>
      <c r="R110" s="52"/>
      <c r="S110" s="66"/>
      <c r="T110" s="65"/>
      <c r="U110" s="68"/>
      <c r="V110" s="75"/>
      <c r="W110" s="6">
        <f>'CLIENT ENROLLMENT DISCHARGE '!M110</f>
        <v>0</v>
      </c>
      <c r="X110" s="76">
        <f>'CLIENT ENROLLMENT DISCHARGE '!L110</f>
        <v>0</v>
      </c>
      <c r="Y110" s="180" t="s">
        <v>0</v>
      </c>
    </row>
    <row r="111" spans="1:25" ht="50.1" customHeight="1" x14ac:dyDescent="0.25">
      <c r="A111" s="5">
        <v>97</v>
      </c>
      <c r="B111" s="10">
        <f>'CLIENT ENROLLMENT DISCHARGE '!B111</f>
        <v>0</v>
      </c>
      <c r="C111" s="4">
        <f>'CLIENT ENROLLMENT DISCHARGE '!C111</f>
        <v>0</v>
      </c>
      <c r="D111" s="51"/>
      <c r="E111" s="52"/>
      <c r="F111" s="51"/>
      <c r="G111" s="52"/>
      <c r="H111" s="62"/>
      <c r="I111" s="115"/>
      <c r="J111" s="9"/>
      <c r="K111" s="70"/>
      <c r="L111" s="52"/>
      <c r="M111" s="8"/>
      <c r="N111" s="7"/>
      <c r="O111" s="218">
        <f t="shared" si="1"/>
        <v>0</v>
      </c>
      <c r="P111" s="218">
        <f>O111+SEPT!P111</f>
        <v>0</v>
      </c>
      <c r="Q111" s="59"/>
      <c r="R111" s="51"/>
      <c r="S111" s="65"/>
      <c r="T111" s="64"/>
      <c r="U111" s="67"/>
      <c r="V111" s="74"/>
      <c r="W111" s="6">
        <f>'CLIENT ENROLLMENT DISCHARGE '!M111</f>
        <v>0</v>
      </c>
      <c r="X111" s="76">
        <f>'CLIENT ENROLLMENT DISCHARGE '!L111</f>
        <v>0</v>
      </c>
      <c r="Y111" s="180" t="s">
        <v>0</v>
      </c>
    </row>
    <row r="112" spans="1:25" ht="50.1" customHeight="1" x14ac:dyDescent="0.25">
      <c r="A112" s="5">
        <v>98</v>
      </c>
      <c r="B112" s="10">
        <f>'CLIENT ENROLLMENT DISCHARGE '!B112</f>
        <v>0</v>
      </c>
      <c r="C112" s="4">
        <f>'CLIENT ENROLLMENT DISCHARGE '!C112</f>
        <v>0</v>
      </c>
      <c r="D112" s="52"/>
      <c r="E112" s="53"/>
      <c r="F112" s="52"/>
      <c r="G112" s="53"/>
      <c r="H112" s="63"/>
      <c r="I112" s="116"/>
      <c r="J112" s="3"/>
      <c r="K112" s="71"/>
      <c r="L112" s="53"/>
      <c r="M112" s="2"/>
      <c r="N112" s="1"/>
      <c r="O112" s="218">
        <f t="shared" si="1"/>
        <v>0</v>
      </c>
      <c r="P112" s="218">
        <f>O112+SEPT!P112</f>
        <v>0</v>
      </c>
      <c r="Q112" s="60"/>
      <c r="R112" s="52"/>
      <c r="S112" s="66"/>
      <c r="T112" s="65"/>
      <c r="U112" s="68"/>
      <c r="V112" s="59"/>
      <c r="W112" s="6">
        <f>'CLIENT ENROLLMENT DISCHARGE '!M112</f>
        <v>0</v>
      </c>
      <c r="X112" s="76">
        <f>'CLIENT ENROLLMENT DISCHARGE '!L112</f>
        <v>0</v>
      </c>
      <c r="Y112" s="180" t="s">
        <v>0</v>
      </c>
    </row>
    <row r="113" spans="1:25" ht="50.1" customHeight="1" x14ac:dyDescent="0.25">
      <c r="A113" s="5">
        <v>99</v>
      </c>
      <c r="B113" s="10">
        <f>'CLIENT ENROLLMENT DISCHARGE '!B113</f>
        <v>0</v>
      </c>
      <c r="C113" s="4">
        <f>'CLIENT ENROLLMENT DISCHARGE '!C113</f>
        <v>0</v>
      </c>
      <c r="D113" s="51"/>
      <c r="E113" s="52"/>
      <c r="F113" s="51"/>
      <c r="G113" s="52"/>
      <c r="H113" s="62"/>
      <c r="I113" s="115"/>
      <c r="J113" s="9"/>
      <c r="K113" s="70"/>
      <c r="L113" s="52"/>
      <c r="M113" s="8"/>
      <c r="N113" s="7"/>
      <c r="O113" s="218">
        <f t="shared" si="1"/>
        <v>0</v>
      </c>
      <c r="P113" s="218">
        <f>O113+SEPT!P113</f>
        <v>0</v>
      </c>
      <c r="Q113" s="59"/>
      <c r="R113" s="51"/>
      <c r="S113" s="65"/>
      <c r="T113" s="64"/>
      <c r="U113" s="67"/>
      <c r="V113" s="74"/>
      <c r="W113" s="6">
        <f>'CLIENT ENROLLMENT DISCHARGE '!M113</f>
        <v>0</v>
      </c>
      <c r="X113" s="76">
        <f>'CLIENT ENROLLMENT DISCHARGE '!L113</f>
        <v>0</v>
      </c>
      <c r="Y113" s="180" t="s">
        <v>0</v>
      </c>
    </row>
    <row r="114" spans="1:25" ht="50.1" customHeight="1" x14ac:dyDescent="0.25">
      <c r="A114" s="5">
        <v>100</v>
      </c>
      <c r="B114" s="10">
        <f>'CLIENT ENROLLMENT DISCHARGE '!B114</f>
        <v>0</v>
      </c>
      <c r="C114" s="4">
        <f>'CLIENT ENROLLMENT DISCHARGE '!C114</f>
        <v>0</v>
      </c>
      <c r="D114" s="52"/>
      <c r="E114" s="53"/>
      <c r="F114" s="52"/>
      <c r="G114" s="53"/>
      <c r="H114" s="63"/>
      <c r="I114" s="116"/>
      <c r="J114" s="3"/>
      <c r="K114" s="71"/>
      <c r="L114" s="53"/>
      <c r="M114" s="2"/>
      <c r="N114" s="1"/>
      <c r="O114" s="218">
        <f t="shared" si="1"/>
        <v>0</v>
      </c>
      <c r="P114" s="218">
        <f>O114+SEPT!P114</f>
        <v>0</v>
      </c>
      <c r="Q114" s="60"/>
      <c r="R114" s="52"/>
      <c r="S114" s="66"/>
      <c r="T114" s="65"/>
      <c r="U114" s="68"/>
      <c r="V114" s="59"/>
      <c r="W114" s="6">
        <f>'CLIENT ENROLLMENT DISCHARGE '!M114</f>
        <v>0</v>
      </c>
      <c r="X114" s="76">
        <f>'CLIENT ENROLLMENT DISCHARGE '!L114</f>
        <v>0</v>
      </c>
      <c r="Y114" s="180" t="s">
        <v>0</v>
      </c>
    </row>
    <row r="115" spans="1:25" ht="50.1" customHeight="1" x14ac:dyDescent="0.25">
      <c r="A115" s="5">
        <v>101</v>
      </c>
      <c r="B115" s="10">
        <f>'CLIENT ENROLLMENT DISCHARGE '!B115</f>
        <v>0</v>
      </c>
      <c r="C115" s="4">
        <f>'CLIENT ENROLLMENT DISCHARGE '!C115</f>
        <v>0</v>
      </c>
      <c r="D115" s="51"/>
      <c r="E115" s="52"/>
      <c r="F115" s="51"/>
      <c r="G115" s="52"/>
      <c r="H115" s="62"/>
      <c r="I115" s="115"/>
      <c r="J115" s="9"/>
      <c r="K115" s="70"/>
      <c r="L115" s="52"/>
      <c r="M115" s="8"/>
      <c r="N115" s="7"/>
      <c r="O115" s="218">
        <f t="shared" si="1"/>
        <v>0</v>
      </c>
      <c r="P115" s="218">
        <f>O115+SEPT!P115</f>
        <v>0</v>
      </c>
      <c r="Q115" s="59"/>
      <c r="R115" s="51"/>
      <c r="S115" s="65"/>
      <c r="T115" s="64"/>
      <c r="U115" s="67"/>
      <c r="V115" s="74"/>
      <c r="W115" s="6">
        <f>'CLIENT ENROLLMENT DISCHARGE '!M115</f>
        <v>0</v>
      </c>
      <c r="X115" s="76">
        <f>'CLIENT ENROLLMENT DISCHARGE '!L115</f>
        <v>0</v>
      </c>
      <c r="Y115" s="180" t="s">
        <v>0</v>
      </c>
    </row>
    <row r="116" spans="1:25" ht="50.1" customHeight="1" x14ac:dyDescent="0.25">
      <c r="A116" s="5">
        <v>102</v>
      </c>
      <c r="B116" s="10">
        <f>'CLIENT ENROLLMENT DISCHARGE '!B116</f>
        <v>0</v>
      </c>
      <c r="C116" s="4">
        <f>'CLIENT ENROLLMENT DISCHARGE '!C116</f>
        <v>0</v>
      </c>
      <c r="D116" s="52"/>
      <c r="E116" s="53"/>
      <c r="F116" s="52"/>
      <c r="G116" s="53"/>
      <c r="H116" s="63"/>
      <c r="I116" s="116"/>
      <c r="J116" s="3"/>
      <c r="K116" s="71"/>
      <c r="L116" s="53"/>
      <c r="M116" s="2"/>
      <c r="N116" s="1"/>
      <c r="O116" s="218">
        <f t="shared" si="1"/>
        <v>0</v>
      </c>
      <c r="P116" s="218">
        <f>O116+SEPT!P116</f>
        <v>0</v>
      </c>
      <c r="Q116" s="60"/>
      <c r="R116" s="52"/>
      <c r="S116" s="66"/>
      <c r="T116" s="65"/>
      <c r="U116" s="68"/>
      <c r="V116" s="59"/>
      <c r="W116" s="6">
        <f>'CLIENT ENROLLMENT DISCHARGE '!M116</f>
        <v>0</v>
      </c>
      <c r="X116" s="76">
        <f>'CLIENT ENROLLMENT DISCHARGE '!L116</f>
        <v>0</v>
      </c>
      <c r="Y116" s="180" t="s">
        <v>0</v>
      </c>
    </row>
    <row r="117" spans="1:25" ht="50.1" customHeight="1" x14ac:dyDescent="0.25">
      <c r="A117" s="5">
        <v>103</v>
      </c>
      <c r="B117" s="10">
        <f>'CLIENT ENROLLMENT DISCHARGE '!B117</f>
        <v>0</v>
      </c>
      <c r="C117" s="4">
        <f>'CLIENT ENROLLMENT DISCHARGE '!C117</f>
        <v>0</v>
      </c>
      <c r="D117" s="51"/>
      <c r="E117" s="52"/>
      <c r="F117" s="51"/>
      <c r="G117" s="52"/>
      <c r="H117" s="62"/>
      <c r="I117" s="115"/>
      <c r="J117" s="9"/>
      <c r="K117" s="70"/>
      <c r="L117" s="52"/>
      <c r="M117" s="8"/>
      <c r="N117" s="7"/>
      <c r="O117" s="218">
        <f t="shared" si="1"/>
        <v>0</v>
      </c>
      <c r="P117" s="218">
        <f>O117+SEPT!P117</f>
        <v>0</v>
      </c>
      <c r="Q117" s="59"/>
      <c r="R117" s="51"/>
      <c r="S117" s="65"/>
      <c r="T117" s="64"/>
      <c r="U117" s="67"/>
      <c r="V117" s="74"/>
      <c r="W117" s="6">
        <f>'CLIENT ENROLLMENT DISCHARGE '!M117</f>
        <v>0</v>
      </c>
      <c r="X117" s="76">
        <f>'CLIENT ENROLLMENT DISCHARGE '!L117</f>
        <v>0</v>
      </c>
      <c r="Y117" s="180" t="s">
        <v>0</v>
      </c>
    </row>
    <row r="118" spans="1:25" ht="50.1" customHeight="1" x14ac:dyDescent="0.25">
      <c r="A118" s="5">
        <v>104</v>
      </c>
      <c r="B118" s="10">
        <f>'CLIENT ENROLLMENT DISCHARGE '!B118</f>
        <v>0</v>
      </c>
      <c r="C118" s="4">
        <f>'CLIENT ENROLLMENT DISCHARGE '!C118</f>
        <v>0</v>
      </c>
      <c r="D118" s="52"/>
      <c r="E118" s="53"/>
      <c r="F118" s="52"/>
      <c r="G118" s="53"/>
      <c r="H118" s="63"/>
      <c r="I118" s="116"/>
      <c r="J118" s="3"/>
      <c r="K118" s="71"/>
      <c r="L118" s="53"/>
      <c r="M118" s="2"/>
      <c r="N118" s="1"/>
      <c r="O118" s="218">
        <f t="shared" si="1"/>
        <v>0</v>
      </c>
      <c r="P118" s="218">
        <f>O118+SEPT!P118</f>
        <v>0</v>
      </c>
      <c r="Q118" s="60"/>
      <c r="R118" s="52"/>
      <c r="S118" s="66"/>
      <c r="T118" s="65"/>
      <c r="U118" s="68"/>
      <c r="V118" s="59"/>
      <c r="W118" s="6">
        <f>'CLIENT ENROLLMENT DISCHARGE '!M118</f>
        <v>0</v>
      </c>
      <c r="X118" s="76">
        <f>'CLIENT ENROLLMENT DISCHARGE '!L118</f>
        <v>0</v>
      </c>
      <c r="Y118" s="180" t="s">
        <v>0</v>
      </c>
    </row>
    <row r="119" spans="1:25" ht="50.1" customHeight="1" x14ac:dyDescent="0.25">
      <c r="A119" s="5">
        <v>105</v>
      </c>
      <c r="B119" s="10">
        <f>'CLIENT ENROLLMENT DISCHARGE '!B119</f>
        <v>0</v>
      </c>
      <c r="C119" s="4">
        <f>'CLIENT ENROLLMENT DISCHARGE '!C119</f>
        <v>0</v>
      </c>
      <c r="D119" s="51"/>
      <c r="E119" s="52"/>
      <c r="F119" s="51"/>
      <c r="G119" s="52"/>
      <c r="H119" s="62"/>
      <c r="I119" s="115"/>
      <c r="J119" s="9"/>
      <c r="K119" s="70"/>
      <c r="L119" s="52"/>
      <c r="M119" s="8"/>
      <c r="N119" s="7"/>
      <c r="O119" s="218">
        <f t="shared" si="1"/>
        <v>0</v>
      </c>
      <c r="P119" s="218">
        <f>O119+SEPT!P119</f>
        <v>0</v>
      </c>
      <c r="Q119" s="59"/>
      <c r="R119" s="51"/>
      <c r="S119" s="65"/>
      <c r="T119" s="64"/>
      <c r="U119" s="67"/>
      <c r="V119" s="74"/>
      <c r="W119" s="6">
        <f>'CLIENT ENROLLMENT DISCHARGE '!M119</f>
        <v>0</v>
      </c>
      <c r="X119" s="76">
        <f>'CLIENT ENROLLMENT DISCHARGE '!L119</f>
        <v>0</v>
      </c>
      <c r="Y119" s="180" t="s">
        <v>0</v>
      </c>
    </row>
    <row r="120" spans="1:25" ht="50.1" customHeight="1" x14ac:dyDescent="0.25">
      <c r="A120" s="5">
        <v>106</v>
      </c>
      <c r="B120" s="10">
        <f>'CLIENT ENROLLMENT DISCHARGE '!B120</f>
        <v>0</v>
      </c>
      <c r="C120" s="4">
        <f>'CLIENT ENROLLMENT DISCHARGE '!C120</f>
        <v>0</v>
      </c>
      <c r="D120" s="52"/>
      <c r="E120" s="53"/>
      <c r="F120" s="52"/>
      <c r="G120" s="53"/>
      <c r="H120" s="63"/>
      <c r="I120" s="116"/>
      <c r="J120" s="3"/>
      <c r="K120" s="71"/>
      <c r="L120" s="53"/>
      <c r="M120" s="2"/>
      <c r="N120" s="1"/>
      <c r="O120" s="218">
        <f t="shared" si="1"/>
        <v>0</v>
      </c>
      <c r="P120" s="218">
        <f>O120+SEPT!P120</f>
        <v>0</v>
      </c>
      <c r="Q120" s="60"/>
      <c r="R120" s="52"/>
      <c r="S120" s="66"/>
      <c r="T120" s="65"/>
      <c r="U120" s="68"/>
      <c r="V120" s="75"/>
      <c r="W120" s="6">
        <f>'CLIENT ENROLLMENT DISCHARGE '!M120</f>
        <v>0</v>
      </c>
      <c r="X120" s="76">
        <f>'CLIENT ENROLLMENT DISCHARGE '!L120</f>
        <v>0</v>
      </c>
      <c r="Y120" s="180" t="s">
        <v>0</v>
      </c>
    </row>
    <row r="121" spans="1:25" ht="50.1" customHeight="1" x14ac:dyDescent="0.25">
      <c r="A121" s="5">
        <v>107</v>
      </c>
      <c r="B121" s="10">
        <f>'CLIENT ENROLLMENT DISCHARGE '!B121</f>
        <v>0</v>
      </c>
      <c r="C121" s="4">
        <f>'CLIENT ENROLLMENT DISCHARGE '!C121</f>
        <v>0</v>
      </c>
      <c r="D121" s="51"/>
      <c r="E121" s="52"/>
      <c r="F121" s="51"/>
      <c r="G121" s="52"/>
      <c r="H121" s="62"/>
      <c r="I121" s="115"/>
      <c r="J121" s="9"/>
      <c r="K121" s="70"/>
      <c r="L121" s="52"/>
      <c r="M121" s="8"/>
      <c r="N121" s="7"/>
      <c r="O121" s="218">
        <f t="shared" si="1"/>
        <v>0</v>
      </c>
      <c r="P121" s="218">
        <f>O121+SEPT!P121</f>
        <v>0</v>
      </c>
      <c r="Q121" s="59"/>
      <c r="R121" s="51"/>
      <c r="S121" s="65"/>
      <c r="T121" s="64"/>
      <c r="U121" s="67"/>
      <c r="V121" s="74"/>
      <c r="W121" s="6">
        <f>'CLIENT ENROLLMENT DISCHARGE '!M121</f>
        <v>0</v>
      </c>
      <c r="X121" s="76">
        <f>'CLIENT ENROLLMENT DISCHARGE '!L121</f>
        <v>0</v>
      </c>
      <c r="Y121" s="180" t="s">
        <v>0</v>
      </c>
    </row>
    <row r="122" spans="1:25" ht="50.1" customHeight="1" x14ac:dyDescent="0.25">
      <c r="A122" s="5">
        <v>108</v>
      </c>
      <c r="B122" s="10">
        <f>'CLIENT ENROLLMENT DISCHARGE '!B122</f>
        <v>0</v>
      </c>
      <c r="C122" s="4">
        <f>'CLIENT ENROLLMENT DISCHARGE '!C122</f>
        <v>0</v>
      </c>
      <c r="D122" s="52"/>
      <c r="E122" s="53"/>
      <c r="F122" s="52"/>
      <c r="G122" s="53"/>
      <c r="H122" s="63"/>
      <c r="I122" s="116"/>
      <c r="J122" s="3"/>
      <c r="K122" s="71"/>
      <c r="L122" s="53"/>
      <c r="M122" s="2"/>
      <c r="N122" s="1"/>
      <c r="O122" s="218">
        <f t="shared" si="1"/>
        <v>0</v>
      </c>
      <c r="P122" s="218">
        <f>O122+SEPT!P122</f>
        <v>0</v>
      </c>
      <c r="Q122" s="60"/>
      <c r="R122" s="52"/>
      <c r="S122" s="66"/>
      <c r="T122" s="65"/>
      <c r="U122" s="68"/>
      <c r="V122" s="59"/>
      <c r="W122" s="6">
        <f>'CLIENT ENROLLMENT DISCHARGE '!M122</f>
        <v>0</v>
      </c>
      <c r="X122" s="76">
        <f>'CLIENT ENROLLMENT DISCHARGE '!L122</f>
        <v>0</v>
      </c>
      <c r="Y122" s="180" t="s">
        <v>0</v>
      </c>
    </row>
    <row r="123" spans="1:25" ht="50.1" customHeight="1" x14ac:dyDescent="0.25">
      <c r="A123" s="5">
        <v>109</v>
      </c>
      <c r="B123" s="10">
        <f>'CLIENT ENROLLMENT DISCHARGE '!B123</f>
        <v>0</v>
      </c>
      <c r="C123" s="4">
        <f>'CLIENT ENROLLMENT DISCHARGE '!C123</f>
        <v>0</v>
      </c>
      <c r="D123" s="51"/>
      <c r="E123" s="52"/>
      <c r="F123" s="51"/>
      <c r="G123" s="52"/>
      <c r="H123" s="62"/>
      <c r="I123" s="115"/>
      <c r="J123" s="9"/>
      <c r="K123" s="70"/>
      <c r="L123" s="52"/>
      <c r="M123" s="8"/>
      <c r="N123" s="7"/>
      <c r="O123" s="218">
        <f t="shared" si="1"/>
        <v>0</v>
      </c>
      <c r="P123" s="218">
        <f>O123+SEPT!P123</f>
        <v>0</v>
      </c>
      <c r="Q123" s="59"/>
      <c r="R123" s="51"/>
      <c r="S123" s="65"/>
      <c r="T123" s="64"/>
      <c r="U123" s="67"/>
      <c r="V123" s="74"/>
      <c r="W123" s="6">
        <f>'CLIENT ENROLLMENT DISCHARGE '!M123</f>
        <v>0</v>
      </c>
      <c r="X123" s="76">
        <f>'CLIENT ENROLLMENT DISCHARGE '!L123</f>
        <v>0</v>
      </c>
      <c r="Y123" s="180" t="s">
        <v>0</v>
      </c>
    </row>
    <row r="124" spans="1:25" ht="50.1" customHeight="1" x14ac:dyDescent="0.25">
      <c r="A124" s="5">
        <v>110</v>
      </c>
      <c r="B124" s="10">
        <f>'CLIENT ENROLLMENT DISCHARGE '!B124</f>
        <v>0</v>
      </c>
      <c r="C124" s="4">
        <f>'CLIENT ENROLLMENT DISCHARGE '!C124</f>
        <v>0</v>
      </c>
      <c r="D124" s="52"/>
      <c r="E124" s="53"/>
      <c r="F124" s="52"/>
      <c r="G124" s="53"/>
      <c r="H124" s="63"/>
      <c r="I124" s="116"/>
      <c r="J124" s="3"/>
      <c r="K124" s="71"/>
      <c r="L124" s="53"/>
      <c r="M124" s="2"/>
      <c r="N124" s="1"/>
      <c r="O124" s="218">
        <f t="shared" si="1"/>
        <v>0</v>
      </c>
      <c r="P124" s="218">
        <f>O124+SEPT!P124</f>
        <v>0</v>
      </c>
      <c r="Q124" s="60"/>
      <c r="R124" s="52"/>
      <c r="S124" s="66"/>
      <c r="T124" s="65"/>
      <c r="U124" s="68"/>
      <c r="V124" s="59"/>
      <c r="W124" s="6">
        <f>'CLIENT ENROLLMENT DISCHARGE '!M124</f>
        <v>0</v>
      </c>
      <c r="X124" s="76">
        <f>'CLIENT ENROLLMENT DISCHARGE '!L124</f>
        <v>0</v>
      </c>
      <c r="Y124" s="180" t="s">
        <v>0</v>
      </c>
    </row>
    <row r="125" spans="1:25" ht="50.1" customHeight="1" x14ac:dyDescent="0.25">
      <c r="A125" s="5">
        <v>111</v>
      </c>
      <c r="B125" s="10">
        <f>'CLIENT ENROLLMENT DISCHARGE '!B125</f>
        <v>0</v>
      </c>
      <c r="C125" s="4">
        <f>'CLIENT ENROLLMENT DISCHARGE '!C125</f>
        <v>0</v>
      </c>
      <c r="D125" s="51"/>
      <c r="E125" s="52"/>
      <c r="F125" s="51"/>
      <c r="G125" s="52"/>
      <c r="H125" s="62"/>
      <c r="I125" s="115"/>
      <c r="J125" s="9"/>
      <c r="K125" s="70"/>
      <c r="L125" s="52"/>
      <c r="M125" s="8"/>
      <c r="N125" s="7"/>
      <c r="O125" s="218">
        <f t="shared" si="1"/>
        <v>0</v>
      </c>
      <c r="P125" s="218">
        <f>O125+SEPT!P125</f>
        <v>0</v>
      </c>
      <c r="Q125" s="59"/>
      <c r="R125" s="51"/>
      <c r="S125" s="65"/>
      <c r="T125" s="64"/>
      <c r="U125" s="67"/>
      <c r="V125" s="74"/>
      <c r="W125" s="6">
        <f>'CLIENT ENROLLMENT DISCHARGE '!M125</f>
        <v>0</v>
      </c>
      <c r="X125" s="76">
        <f>'CLIENT ENROLLMENT DISCHARGE '!L125</f>
        <v>0</v>
      </c>
      <c r="Y125" s="180" t="s">
        <v>0</v>
      </c>
    </row>
    <row r="126" spans="1:25" ht="50.1" customHeight="1" x14ac:dyDescent="0.25">
      <c r="A126" s="5">
        <v>112</v>
      </c>
      <c r="B126" s="10">
        <f>'CLIENT ENROLLMENT DISCHARGE '!B126</f>
        <v>0</v>
      </c>
      <c r="C126" s="4">
        <f>'CLIENT ENROLLMENT DISCHARGE '!C126</f>
        <v>0</v>
      </c>
      <c r="D126" s="52"/>
      <c r="E126" s="53"/>
      <c r="F126" s="52"/>
      <c r="G126" s="53"/>
      <c r="H126" s="63"/>
      <c r="I126" s="116"/>
      <c r="J126" s="3"/>
      <c r="K126" s="71"/>
      <c r="L126" s="53"/>
      <c r="M126" s="2"/>
      <c r="N126" s="1"/>
      <c r="O126" s="218">
        <f t="shared" si="1"/>
        <v>0</v>
      </c>
      <c r="P126" s="218">
        <f>O126+SEPT!P126</f>
        <v>0</v>
      </c>
      <c r="Q126" s="60"/>
      <c r="R126" s="52"/>
      <c r="S126" s="66"/>
      <c r="T126" s="65"/>
      <c r="U126" s="68"/>
      <c r="V126" s="59"/>
      <c r="W126" s="6">
        <f>'CLIENT ENROLLMENT DISCHARGE '!M126</f>
        <v>0</v>
      </c>
      <c r="X126" s="76">
        <f>'CLIENT ENROLLMENT DISCHARGE '!L126</f>
        <v>0</v>
      </c>
      <c r="Y126" s="180" t="s">
        <v>0</v>
      </c>
    </row>
    <row r="127" spans="1:25" ht="50.1" customHeight="1" x14ac:dyDescent="0.25">
      <c r="A127" s="5">
        <v>113</v>
      </c>
      <c r="B127" s="10">
        <f>'CLIENT ENROLLMENT DISCHARGE '!B127</f>
        <v>0</v>
      </c>
      <c r="C127" s="4">
        <f>'CLIENT ENROLLMENT DISCHARGE '!C127</f>
        <v>0</v>
      </c>
      <c r="D127" s="51"/>
      <c r="E127" s="52"/>
      <c r="F127" s="51"/>
      <c r="G127" s="52"/>
      <c r="H127" s="62"/>
      <c r="I127" s="115"/>
      <c r="J127" s="9"/>
      <c r="K127" s="70"/>
      <c r="L127" s="52"/>
      <c r="M127" s="8"/>
      <c r="N127" s="7"/>
      <c r="O127" s="218">
        <f t="shared" si="1"/>
        <v>0</v>
      </c>
      <c r="P127" s="218">
        <f>O127+SEPT!P127</f>
        <v>0</v>
      </c>
      <c r="Q127" s="59"/>
      <c r="R127" s="51"/>
      <c r="S127" s="65"/>
      <c r="T127" s="64"/>
      <c r="U127" s="67"/>
      <c r="V127" s="74"/>
      <c r="W127" s="6">
        <f>'CLIENT ENROLLMENT DISCHARGE '!M127</f>
        <v>0</v>
      </c>
      <c r="X127" s="76">
        <f>'CLIENT ENROLLMENT DISCHARGE '!L127</f>
        <v>0</v>
      </c>
      <c r="Y127" s="180" t="s">
        <v>0</v>
      </c>
    </row>
    <row r="128" spans="1:25" ht="50.1" customHeight="1" x14ac:dyDescent="0.25">
      <c r="A128" s="5">
        <v>114</v>
      </c>
      <c r="B128" s="10">
        <f>'CLIENT ENROLLMENT DISCHARGE '!B128</f>
        <v>0</v>
      </c>
      <c r="C128" s="4">
        <f>'CLIENT ENROLLMENT DISCHARGE '!C128</f>
        <v>0</v>
      </c>
      <c r="D128" s="52"/>
      <c r="E128" s="53"/>
      <c r="F128" s="52"/>
      <c r="G128" s="53"/>
      <c r="H128" s="63"/>
      <c r="I128" s="116"/>
      <c r="J128" s="3"/>
      <c r="K128" s="71"/>
      <c r="L128" s="53"/>
      <c r="M128" s="2"/>
      <c r="N128" s="1"/>
      <c r="O128" s="218">
        <f t="shared" si="1"/>
        <v>0</v>
      </c>
      <c r="P128" s="218">
        <f>O128+SEPT!P128</f>
        <v>0</v>
      </c>
      <c r="Q128" s="60"/>
      <c r="R128" s="52"/>
      <c r="S128" s="66"/>
      <c r="T128" s="65"/>
      <c r="U128" s="68"/>
      <c r="V128" s="59"/>
      <c r="W128" s="6">
        <f>'CLIENT ENROLLMENT DISCHARGE '!M128</f>
        <v>0</v>
      </c>
      <c r="X128" s="76">
        <f>'CLIENT ENROLLMENT DISCHARGE '!L128</f>
        <v>0</v>
      </c>
      <c r="Y128" s="180" t="s">
        <v>0</v>
      </c>
    </row>
    <row r="129" spans="1:25" ht="50.1" customHeight="1" x14ac:dyDescent="0.25">
      <c r="A129" s="5">
        <v>115</v>
      </c>
      <c r="B129" s="10">
        <f>'CLIENT ENROLLMENT DISCHARGE '!B129</f>
        <v>0</v>
      </c>
      <c r="C129" s="4">
        <f>'CLIENT ENROLLMENT DISCHARGE '!C129</f>
        <v>0</v>
      </c>
      <c r="D129" s="51"/>
      <c r="E129" s="52"/>
      <c r="F129" s="51"/>
      <c r="G129" s="52"/>
      <c r="H129" s="62"/>
      <c r="I129" s="115"/>
      <c r="J129" s="9"/>
      <c r="K129" s="70"/>
      <c r="L129" s="52"/>
      <c r="M129" s="8"/>
      <c r="N129" s="7"/>
      <c r="O129" s="218">
        <f t="shared" si="1"/>
        <v>0</v>
      </c>
      <c r="P129" s="218">
        <f>O129+SEPT!P129</f>
        <v>0</v>
      </c>
      <c r="Q129" s="59"/>
      <c r="R129" s="51"/>
      <c r="S129" s="65"/>
      <c r="T129" s="64"/>
      <c r="U129" s="67"/>
      <c r="V129" s="74"/>
      <c r="W129" s="6">
        <f>'CLIENT ENROLLMENT DISCHARGE '!M129</f>
        <v>0</v>
      </c>
      <c r="X129" s="76">
        <f>'CLIENT ENROLLMENT DISCHARGE '!L129</f>
        <v>0</v>
      </c>
      <c r="Y129" s="180" t="s">
        <v>0</v>
      </c>
    </row>
    <row r="130" spans="1:25" ht="50.1" customHeight="1" x14ac:dyDescent="0.25">
      <c r="A130" s="5">
        <v>116</v>
      </c>
      <c r="B130" s="10">
        <f>'CLIENT ENROLLMENT DISCHARGE '!B130</f>
        <v>0</v>
      </c>
      <c r="C130" s="4">
        <f>'CLIENT ENROLLMENT DISCHARGE '!C130</f>
        <v>0</v>
      </c>
      <c r="D130" s="52"/>
      <c r="E130" s="53"/>
      <c r="F130" s="52"/>
      <c r="G130" s="53"/>
      <c r="H130" s="63"/>
      <c r="I130" s="116"/>
      <c r="J130" s="3"/>
      <c r="K130" s="71"/>
      <c r="L130" s="53"/>
      <c r="M130" s="2"/>
      <c r="N130" s="1"/>
      <c r="O130" s="218">
        <f t="shared" si="1"/>
        <v>0</v>
      </c>
      <c r="P130" s="218">
        <f>O130+SEPT!P130</f>
        <v>0</v>
      </c>
      <c r="Q130" s="60"/>
      <c r="R130" s="52"/>
      <c r="S130" s="66"/>
      <c r="T130" s="65"/>
      <c r="U130" s="68"/>
      <c r="V130" s="75"/>
      <c r="W130" s="6">
        <f>'CLIENT ENROLLMENT DISCHARGE '!M130</f>
        <v>0</v>
      </c>
      <c r="X130" s="76">
        <f>'CLIENT ENROLLMENT DISCHARGE '!L130</f>
        <v>0</v>
      </c>
      <c r="Y130" s="180" t="s">
        <v>0</v>
      </c>
    </row>
    <row r="131" spans="1:25" ht="50.1" customHeight="1" x14ac:dyDescent="0.25">
      <c r="A131" s="5">
        <v>117</v>
      </c>
      <c r="B131" s="10">
        <f>'CLIENT ENROLLMENT DISCHARGE '!B131</f>
        <v>0</v>
      </c>
      <c r="C131" s="4">
        <f>'CLIENT ENROLLMENT DISCHARGE '!C131</f>
        <v>0</v>
      </c>
      <c r="D131" s="51"/>
      <c r="E131" s="52"/>
      <c r="F131" s="51"/>
      <c r="G131" s="52"/>
      <c r="H131" s="62"/>
      <c r="I131" s="115"/>
      <c r="J131" s="9"/>
      <c r="K131" s="70"/>
      <c r="L131" s="52"/>
      <c r="M131" s="8"/>
      <c r="N131" s="7"/>
      <c r="O131" s="218">
        <f t="shared" si="1"/>
        <v>0</v>
      </c>
      <c r="P131" s="218">
        <f>O131+SEPT!P131</f>
        <v>0</v>
      </c>
      <c r="Q131" s="59"/>
      <c r="R131" s="51"/>
      <c r="S131" s="65"/>
      <c r="T131" s="64"/>
      <c r="U131" s="67"/>
      <c r="V131" s="74"/>
      <c r="W131" s="6">
        <f>'CLIENT ENROLLMENT DISCHARGE '!M131</f>
        <v>0</v>
      </c>
      <c r="X131" s="76">
        <f>'CLIENT ENROLLMENT DISCHARGE '!L131</f>
        <v>0</v>
      </c>
      <c r="Y131" s="180" t="s">
        <v>0</v>
      </c>
    </row>
    <row r="132" spans="1:25" ht="50.1" customHeight="1" x14ac:dyDescent="0.25">
      <c r="A132" s="5">
        <v>118</v>
      </c>
      <c r="B132" s="10">
        <f>'CLIENT ENROLLMENT DISCHARGE '!B132</f>
        <v>0</v>
      </c>
      <c r="C132" s="4">
        <f>'CLIENT ENROLLMENT DISCHARGE '!C132</f>
        <v>0</v>
      </c>
      <c r="D132" s="52"/>
      <c r="E132" s="53"/>
      <c r="F132" s="52"/>
      <c r="G132" s="53"/>
      <c r="H132" s="63"/>
      <c r="I132" s="116"/>
      <c r="J132" s="3"/>
      <c r="K132" s="71"/>
      <c r="L132" s="53"/>
      <c r="M132" s="2"/>
      <c r="N132" s="1"/>
      <c r="O132" s="218">
        <f t="shared" si="1"/>
        <v>0</v>
      </c>
      <c r="P132" s="218">
        <f>O132+SEPT!P132</f>
        <v>0</v>
      </c>
      <c r="Q132" s="60"/>
      <c r="R132" s="52"/>
      <c r="S132" s="66"/>
      <c r="T132" s="65"/>
      <c r="U132" s="68"/>
      <c r="V132" s="59"/>
      <c r="W132" s="6">
        <f>'CLIENT ENROLLMENT DISCHARGE '!M132</f>
        <v>0</v>
      </c>
      <c r="X132" s="76">
        <f>'CLIENT ENROLLMENT DISCHARGE '!L132</f>
        <v>0</v>
      </c>
      <c r="Y132" s="180" t="s">
        <v>0</v>
      </c>
    </row>
    <row r="133" spans="1:25" ht="50.1" customHeight="1" x14ac:dyDescent="0.25">
      <c r="A133" s="5">
        <v>119</v>
      </c>
      <c r="B133" s="10">
        <f>'CLIENT ENROLLMENT DISCHARGE '!B133</f>
        <v>0</v>
      </c>
      <c r="C133" s="4">
        <f>'CLIENT ENROLLMENT DISCHARGE '!C133</f>
        <v>0</v>
      </c>
      <c r="D133" s="51"/>
      <c r="E133" s="52"/>
      <c r="F133" s="51"/>
      <c r="G133" s="52"/>
      <c r="H133" s="62"/>
      <c r="I133" s="115"/>
      <c r="J133" s="9"/>
      <c r="K133" s="70"/>
      <c r="L133" s="52"/>
      <c r="M133" s="8"/>
      <c r="N133" s="7"/>
      <c r="O133" s="218">
        <f t="shared" si="1"/>
        <v>0</v>
      </c>
      <c r="P133" s="218">
        <f>O133+SEPT!P133</f>
        <v>0</v>
      </c>
      <c r="Q133" s="59"/>
      <c r="R133" s="51"/>
      <c r="S133" s="65"/>
      <c r="T133" s="64"/>
      <c r="U133" s="67"/>
      <c r="V133" s="74"/>
      <c r="W133" s="6">
        <f>'CLIENT ENROLLMENT DISCHARGE '!M133</f>
        <v>0</v>
      </c>
      <c r="X133" s="76">
        <f>'CLIENT ENROLLMENT DISCHARGE '!L133</f>
        <v>0</v>
      </c>
      <c r="Y133" s="180" t="s">
        <v>0</v>
      </c>
    </row>
    <row r="134" spans="1:25" ht="50.1" customHeight="1" x14ac:dyDescent="0.25">
      <c r="A134" s="5">
        <v>120</v>
      </c>
      <c r="B134" s="10">
        <f>'CLIENT ENROLLMENT DISCHARGE '!B134</f>
        <v>0</v>
      </c>
      <c r="C134" s="4">
        <f>'CLIENT ENROLLMENT DISCHARGE '!C134</f>
        <v>0</v>
      </c>
      <c r="D134" s="52"/>
      <c r="E134" s="53"/>
      <c r="F134" s="52"/>
      <c r="G134" s="53"/>
      <c r="H134" s="63"/>
      <c r="I134" s="116"/>
      <c r="J134" s="3"/>
      <c r="K134" s="71"/>
      <c r="L134" s="53"/>
      <c r="M134" s="2"/>
      <c r="N134" s="1"/>
      <c r="O134" s="218">
        <f t="shared" si="1"/>
        <v>0</v>
      </c>
      <c r="P134" s="218">
        <f>O134+SEPT!P134</f>
        <v>0</v>
      </c>
      <c r="Q134" s="60"/>
      <c r="R134" s="52"/>
      <c r="S134" s="66"/>
      <c r="T134" s="65"/>
      <c r="U134" s="68"/>
      <c r="V134" s="59"/>
      <c r="W134" s="6">
        <f>'CLIENT ENROLLMENT DISCHARGE '!M134</f>
        <v>0</v>
      </c>
      <c r="X134" s="76">
        <f>'CLIENT ENROLLMENT DISCHARGE '!L134</f>
        <v>0</v>
      </c>
      <c r="Y134" s="180" t="s">
        <v>0</v>
      </c>
    </row>
    <row r="135" spans="1:25" ht="50.1" customHeight="1" x14ac:dyDescent="0.25">
      <c r="A135" s="5">
        <v>121</v>
      </c>
      <c r="B135" s="10">
        <f>'CLIENT ENROLLMENT DISCHARGE '!B135</f>
        <v>0</v>
      </c>
      <c r="C135" s="4">
        <f>'CLIENT ENROLLMENT DISCHARGE '!C135</f>
        <v>0</v>
      </c>
      <c r="D135" s="51"/>
      <c r="E135" s="52"/>
      <c r="F135" s="51"/>
      <c r="G135" s="52"/>
      <c r="H135" s="62"/>
      <c r="I135" s="115"/>
      <c r="J135" s="9"/>
      <c r="K135" s="70"/>
      <c r="L135" s="52"/>
      <c r="M135" s="8"/>
      <c r="N135" s="7"/>
      <c r="O135" s="218">
        <f t="shared" si="1"/>
        <v>0</v>
      </c>
      <c r="P135" s="218">
        <f>O135+SEPT!P135</f>
        <v>0</v>
      </c>
      <c r="Q135" s="59"/>
      <c r="R135" s="51"/>
      <c r="S135" s="65"/>
      <c r="T135" s="64"/>
      <c r="U135" s="67"/>
      <c r="V135" s="74"/>
      <c r="W135" s="6">
        <f>'CLIENT ENROLLMENT DISCHARGE '!M135</f>
        <v>0</v>
      </c>
      <c r="X135" s="76">
        <f>'CLIENT ENROLLMENT DISCHARGE '!L135</f>
        <v>0</v>
      </c>
      <c r="Y135" s="180" t="s">
        <v>0</v>
      </c>
    </row>
    <row r="136" spans="1:25" ht="50.1" customHeight="1" x14ac:dyDescent="0.25">
      <c r="A136" s="5">
        <v>122</v>
      </c>
      <c r="B136" s="10">
        <f>'CLIENT ENROLLMENT DISCHARGE '!B136</f>
        <v>0</v>
      </c>
      <c r="C136" s="4">
        <f>'CLIENT ENROLLMENT DISCHARGE '!C136</f>
        <v>0</v>
      </c>
      <c r="D136" s="52"/>
      <c r="E136" s="53"/>
      <c r="F136" s="52"/>
      <c r="G136" s="53"/>
      <c r="H136" s="63"/>
      <c r="I136" s="116"/>
      <c r="J136" s="3"/>
      <c r="K136" s="71"/>
      <c r="L136" s="53"/>
      <c r="M136" s="2"/>
      <c r="N136" s="1"/>
      <c r="O136" s="218">
        <f t="shared" si="1"/>
        <v>0</v>
      </c>
      <c r="P136" s="218">
        <f>O136+SEPT!P136</f>
        <v>0</v>
      </c>
      <c r="Q136" s="60"/>
      <c r="R136" s="52"/>
      <c r="S136" s="66"/>
      <c r="T136" s="65"/>
      <c r="U136" s="68"/>
      <c r="V136" s="59"/>
      <c r="W136" s="6">
        <f>'CLIENT ENROLLMENT DISCHARGE '!M136</f>
        <v>0</v>
      </c>
      <c r="X136" s="76">
        <f>'CLIENT ENROLLMENT DISCHARGE '!L136</f>
        <v>0</v>
      </c>
      <c r="Y136" s="180" t="s">
        <v>0</v>
      </c>
    </row>
    <row r="137" spans="1:25" ht="50.1" customHeight="1" x14ac:dyDescent="0.25">
      <c r="A137" s="5">
        <v>123</v>
      </c>
      <c r="B137" s="10">
        <f>'CLIENT ENROLLMENT DISCHARGE '!B137</f>
        <v>0</v>
      </c>
      <c r="C137" s="4">
        <f>'CLIENT ENROLLMENT DISCHARGE '!C137</f>
        <v>0</v>
      </c>
      <c r="D137" s="51"/>
      <c r="E137" s="52"/>
      <c r="F137" s="51"/>
      <c r="G137" s="52"/>
      <c r="H137" s="62"/>
      <c r="I137" s="115"/>
      <c r="J137" s="9"/>
      <c r="K137" s="70"/>
      <c r="L137" s="52"/>
      <c r="M137" s="8"/>
      <c r="N137" s="7"/>
      <c r="O137" s="218">
        <f t="shared" si="1"/>
        <v>0</v>
      </c>
      <c r="P137" s="218">
        <f>O137+SEPT!P137</f>
        <v>0</v>
      </c>
      <c r="Q137" s="59"/>
      <c r="R137" s="51"/>
      <c r="S137" s="65"/>
      <c r="T137" s="64"/>
      <c r="U137" s="67"/>
      <c r="V137" s="74"/>
      <c r="W137" s="6">
        <f>'CLIENT ENROLLMENT DISCHARGE '!M137</f>
        <v>0</v>
      </c>
      <c r="X137" s="76">
        <f>'CLIENT ENROLLMENT DISCHARGE '!L137</f>
        <v>0</v>
      </c>
      <c r="Y137" s="180" t="s">
        <v>0</v>
      </c>
    </row>
    <row r="138" spans="1:25" ht="50.1" customHeight="1" x14ac:dyDescent="0.25">
      <c r="A138" s="5">
        <v>124</v>
      </c>
      <c r="B138" s="10">
        <f>'CLIENT ENROLLMENT DISCHARGE '!B138</f>
        <v>0</v>
      </c>
      <c r="C138" s="4">
        <f>'CLIENT ENROLLMENT DISCHARGE '!C138</f>
        <v>0</v>
      </c>
      <c r="D138" s="52"/>
      <c r="E138" s="53"/>
      <c r="F138" s="52"/>
      <c r="G138" s="53"/>
      <c r="H138" s="63"/>
      <c r="I138" s="116"/>
      <c r="J138" s="3"/>
      <c r="K138" s="71"/>
      <c r="L138" s="53"/>
      <c r="M138" s="2"/>
      <c r="N138" s="1"/>
      <c r="O138" s="218">
        <f t="shared" si="1"/>
        <v>0</v>
      </c>
      <c r="P138" s="218">
        <f>O138+SEPT!P138</f>
        <v>0</v>
      </c>
      <c r="Q138" s="60"/>
      <c r="R138" s="52"/>
      <c r="S138" s="66"/>
      <c r="T138" s="65"/>
      <c r="U138" s="68"/>
      <c r="V138" s="59"/>
      <c r="W138" s="6">
        <f>'CLIENT ENROLLMENT DISCHARGE '!M138</f>
        <v>0</v>
      </c>
      <c r="X138" s="76">
        <f>'CLIENT ENROLLMENT DISCHARGE '!L138</f>
        <v>0</v>
      </c>
      <c r="Y138" s="180" t="s">
        <v>0</v>
      </c>
    </row>
    <row r="139" spans="1:25" ht="50.1" customHeight="1" x14ac:dyDescent="0.25">
      <c r="A139" s="5">
        <v>125</v>
      </c>
      <c r="B139" s="10">
        <f>'CLIENT ENROLLMENT DISCHARGE '!B139</f>
        <v>0</v>
      </c>
      <c r="C139" s="4">
        <f>'CLIENT ENROLLMENT DISCHARGE '!C139</f>
        <v>0</v>
      </c>
      <c r="D139" s="51"/>
      <c r="E139" s="52"/>
      <c r="F139" s="51"/>
      <c r="G139" s="52"/>
      <c r="H139" s="62"/>
      <c r="I139" s="115"/>
      <c r="J139" s="9"/>
      <c r="K139" s="70"/>
      <c r="L139" s="52"/>
      <c r="M139" s="8"/>
      <c r="N139" s="7"/>
      <c r="O139" s="218">
        <f t="shared" si="1"/>
        <v>0</v>
      </c>
      <c r="P139" s="218">
        <f>O139+SEPT!P139</f>
        <v>0</v>
      </c>
      <c r="Q139" s="59"/>
      <c r="R139" s="51"/>
      <c r="S139" s="65"/>
      <c r="T139" s="64"/>
      <c r="U139" s="67"/>
      <c r="V139" s="74"/>
      <c r="W139" s="6">
        <f>'CLIENT ENROLLMENT DISCHARGE '!M139</f>
        <v>0</v>
      </c>
      <c r="X139" s="76">
        <f>'CLIENT ENROLLMENT DISCHARGE '!L139</f>
        <v>0</v>
      </c>
      <c r="Y139" s="180" t="s">
        <v>0</v>
      </c>
    </row>
    <row r="140" spans="1:25" ht="50.1" customHeight="1" x14ac:dyDescent="0.25">
      <c r="A140" s="5">
        <v>126</v>
      </c>
      <c r="B140" s="10">
        <f>'CLIENT ENROLLMENT DISCHARGE '!B140</f>
        <v>0</v>
      </c>
      <c r="C140" s="4">
        <f>'CLIENT ENROLLMENT DISCHARGE '!C140</f>
        <v>0</v>
      </c>
      <c r="D140" s="52"/>
      <c r="E140" s="53"/>
      <c r="F140" s="52"/>
      <c r="G140" s="53"/>
      <c r="H140" s="63"/>
      <c r="I140" s="116"/>
      <c r="J140" s="3"/>
      <c r="K140" s="71"/>
      <c r="L140" s="53"/>
      <c r="M140" s="2"/>
      <c r="N140" s="1"/>
      <c r="O140" s="218">
        <f t="shared" si="1"/>
        <v>0</v>
      </c>
      <c r="P140" s="218">
        <f>O140+SEPT!P140</f>
        <v>0</v>
      </c>
      <c r="Q140" s="60"/>
      <c r="R140" s="52"/>
      <c r="S140" s="66"/>
      <c r="T140" s="65"/>
      <c r="U140" s="68"/>
      <c r="V140" s="75"/>
      <c r="W140" s="6">
        <f>'CLIENT ENROLLMENT DISCHARGE '!M140</f>
        <v>0</v>
      </c>
      <c r="X140" s="76">
        <f>'CLIENT ENROLLMENT DISCHARGE '!L140</f>
        <v>0</v>
      </c>
      <c r="Y140" s="180" t="s">
        <v>0</v>
      </c>
    </row>
    <row r="141" spans="1:25" ht="50.1" customHeight="1" x14ac:dyDescent="0.25">
      <c r="A141" s="5">
        <v>127</v>
      </c>
      <c r="B141" s="10">
        <f>'CLIENT ENROLLMENT DISCHARGE '!B141</f>
        <v>0</v>
      </c>
      <c r="C141" s="4">
        <f>'CLIENT ENROLLMENT DISCHARGE '!C141</f>
        <v>0</v>
      </c>
      <c r="D141" s="51"/>
      <c r="E141" s="52"/>
      <c r="F141" s="51"/>
      <c r="G141" s="52"/>
      <c r="H141" s="62"/>
      <c r="I141" s="115"/>
      <c r="J141" s="9"/>
      <c r="K141" s="70"/>
      <c r="L141" s="52"/>
      <c r="M141" s="8"/>
      <c r="N141" s="7"/>
      <c r="O141" s="218">
        <f t="shared" si="1"/>
        <v>0</v>
      </c>
      <c r="P141" s="218">
        <f>O141+SEPT!P141</f>
        <v>0</v>
      </c>
      <c r="Q141" s="59"/>
      <c r="R141" s="51"/>
      <c r="S141" s="65"/>
      <c r="T141" s="64"/>
      <c r="U141" s="67"/>
      <c r="V141" s="74"/>
      <c r="W141" s="6">
        <f>'CLIENT ENROLLMENT DISCHARGE '!M141</f>
        <v>0</v>
      </c>
      <c r="X141" s="76">
        <f>'CLIENT ENROLLMENT DISCHARGE '!L141</f>
        <v>0</v>
      </c>
      <c r="Y141" s="180" t="s">
        <v>0</v>
      </c>
    </row>
    <row r="142" spans="1:25" ht="50.1" customHeight="1" x14ac:dyDescent="0.25">
      <c r="A142" s="5">
        <v>128</v>
      </c>
      <c r="B142" s="10">
        <f>'CLIENT ENROLLMENT DISCHARGE '!B142</f>
        <v>0</v>
      </c>
      <c r="C142" s="4">
        <f>'CLIENT ENROLLMENT DISCHARGE '!C142</f>
        <v>0</v>
      </c>
      <c r="D142" s="52"/>
      <c r="E142" s="53"/>
      <c r="F142" s="52"/>
      <c r="G142" s="53"/>
      <c r="H142" s="63"/>
      <c r="I142" s="116"/>
      <c r="J142" s="3"/>
      <c r="K142" s="71"/>
      <c r="L142" s="53"/>
      <c r="M142" s="2"/>
      <c r="N142" s="1"/>
      <c r="O142" s="218">
        <f t="shared" si="1"/>
        <v>0</v>
      </c>
      <c r="P142" s="218">
        <f>O142+SEPT!P142</f>
        <v>0</v>
      </c>
      <c r="Q142" s="60"/>
      <c r="R142" s="52"/>
      <c r="S142" s="66"/>
      <c r="T142" s="65"/>
      <c r="U142" s="68"/>
      <c r="V142" s="59"/>
      <c r="W142" s="6">
        <f>'CLIENT ENROLLMENT DISCHARGE '!M142</f>
        <v>0</v>
      </c>
      <c r="X142" s="76">
        <f>'CLIENT ENROLLMENT DISCHARGE '!L142</f>
        <v>0</v>
      </c>
      <c r="Y142" s="180" t="s">
        <v>0</v>
      </c>
    </row>
    <row r="143" spans="1:25" ht="50.1" customHeight="1" x14ac:dyDescent="0.25">
      <c r="A143" s="5">
        <v>129</v>
      </c>
      <c r="B143" s="10">
        <f>'CLIENT ENROLLMENT DISCHARGE '!B143</f>
        <v>0</v>
      </c>
      <c r="C143" s="4">
        <f>'CLIENT ENROLLMENT DISCHARGE '!C143</f>
        <v>0</v>
      </c>
      <c r="D143" s="51"/>
      <c r="E143" s="52"/>
      <c r="F143" s="51"/>
      <c r="G143" s="52"/>
      <c r="H143" s="62"/>
      <c r="I143" s="115"/>
      <c r="J143" s="9"/>
      <c r="K143" s="70"/>
      <c r="L143" s="52"/>
      <c r="M143" s="8"/>
      <c r="N143" s="7"/>
      <c r="O143" s="218">
        <f t="shared" si="1"/>
        <v>0</v>
      </c>
      <c r="P143" s="218">
        <f>O143+SEPT!P143</f>
        <v>0</v>
      </c>
      <c r="Q143" s="59"/>
      <c r="R143" s="51"/>
      <c r="S143" s="65"/>
      <c r="T143" s="64"/>
      <c r="U143" s="67"/>
      <c r="V143" s="74"/>
      <c r="W143" s="6">
        <f>'CLIENT ENROLLMENT DISCHARGE '!M143</f>
        <v>0</v>
      </c>
      <c r="X143" s="76">
        <f>'CLIENT ENROLLMENT DISCHARGE '!L143</f>
        <v>0</v>
      </c>
      <c r="Y143" s="180" t="s">
        <v>0</v>
      </c>
    </row>
    <row r="144" spans="1:25" ht="50.1" customHeight="1" x14ac:dyDescent="0.25">
      <c r="A144" s="5">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2">K144*N144</f>
        <v>0</v>
      </c>
      <c r="P144" s="218">
        <f>O144+SEPT!P144</f>
        <v>0</v>
      </c>
      <c r="Q144" s="60"/>
      <c r="R144" s="52"/>
      <c r="S144" s="66"/>
      <c r="T144" s="65"/>
      <c r="U144" s="68"/>
      <c r="V144" s="59"/>
      <c r="W144" s="6">
        <f>'CLIENT ENROLLMENT DISCHARGE '!M144</f>
        <v>0</v>
      </c>
      <c r="X144" s="76">
        <f>'CLIENT ENROLLMENT DISCHARGE '!L144</f>
        <v>0</v>
      </c>
      <c r="Y144" s="180" t="s">
        <v>0</v>
      </c>
    </row>
    <row r="145" spans="1:25" ht="50.1" customHeight="1" x14ac:dyDescent="0.25">
      <c r="A145" s="5">
        <v>131</v>
      </c>
      <c r="B145" s="10">
        <f>'CLIENT ENROLLMENT DISCHARGE '!B145</f>
        <v>0</v>
      </c>
      <c r="C145" s="4">
        <f>'CLIENT ENROLLMENT DISCHARGE '!C145</f>
        <v>0</v>
      </c>
      <c r="D145" s="51"/>
      <c r="E145" s="52"/>
      <c r="F145" s="51"/>
      <c r="G145" s="52"/>
      <c r="H145" s="62"/>
      <c r="I145" s="115"/>
      <c r="J145" s="9"/>
      <c r="K145" s="70"/>
      <c r="L145" s="52"/>
      <c r="M145" s="8"/>
      <c r="N145" s="7"/>
      <c r="O145" s="218">
        <f t="shared" si="2"/>
        <v>0</v>
      </c>
      <c r="P145" s="218">
        <f>O145+SEPT!P145</f>
        <v>0</v>
      </c>
      <c r="Q145" s="59"/>
      <c r="R145" s="51"/>
      <c r="S145" s="65"/>
      <c r="T145" s="64"/>
      <c r="U145" s="67"/>
      <c r="V145" s="74"/>
      <c r="W145" s="6">
        <f>'CLIENT ENROLLMENT DISCHARGE '!M145</f>
        <v>0</v>
      </c>
      <c r="X145" s="76">
        <f>'CLIENT ENROLLMENT DISCHARGE '!L145</f>
        <v>0</v>
      </c>
      <c r="Y145" s="180" t="s">
        <v>0</v>
      </c>
    </row>
    <row r="146" spans="1:25" ht="50.1" customHeight="1" x14ac:dyDescent="0.25">
      <c r="A146" s="5">
        <v>132</v>
      </c>
      <c r="B146" s="10">
        <f>'CLIENT ENROLLMENT DISCHARGE '!B146</f>
        <v>0</v>
      </c>
      <c r="C146" s="4">
        <f>'CLIENT ENROLLMENT DISCHARGE '!C146</f>
        <v>0</v>
      </c>
      <c r="D146" s="52"/>
      <c r="E146" s="53"/>
      <c r="F146" s="52"/>
      <c r="G146" s="53"/>
      <c r="H146" s="63"/>
      <c r="I146" s="116"/>
      <c r="J146" s="3"/>
      <c r="K146" s="71"/>
      <c r="L146" s="53"/>
      <c r="M146" s="2"/>
      <c r="N146" s="1"/>
      <c r="O146" s="218">
        <f t="shared" si="2"/>
        <v>0</v>
      </c>
      <c r="P146" s="218">
        <f>O146+SEPT!P146</f>
        <v>0</v>
      </c>
      <c r="Q146" s="60"/>
      <c r="R146" s="52"/>
      <c r="S146" s="66"/>
      <c r="T146" s="65"/>
      <c r="U146" s="68"/>
      <c r="V146" s="59"/>
      <c r="W146" s="6">
        <f>'CLIENT ENROLLMENT DISCHARGE '!M146</f>
        <v>0</v>
      </c>
      <c r="X146" s="76">
        <f>'CLIENT ENROLLMENT DISCHARGE '!L146</f>
        <v>0</v>
      </c>
      <c r="Y146" s="180" t="s">
        <v>0</v>
      </c>
    </row>
    <row r="147" spans="1:25" ht="50.1" customHeight="1" x14ac:dyDescent="0.25">
      <c r="A147" s="5">
        <v>133</v>
      </c>
      <c r="B147" s="10">
        <f>'CLIENT ENROLLMENT DISCHARGE '!B147</f>
        <v>0</v>
      </c>
      <c r="C147" s="4">
        <f>'CLIENT ENROLLMENT DISCHARGE '!C147</f>
        <v>0</v>
      </c>
      <c r="D147" s="51"/>
      <c r="E147" s="52"/>
      <c r="F147" s="51"/>
      <c r="G147" s="52"/>
      <c r="H147" s="62"/>
      <c r="I147" s="115"/>
      <c r="J147" s="9"/>
      <c r="K147" s="70"/>
      <c r="L147" s="52"/>
      <c r="M147" s="8"/>
      <c r="N147" s="7"/>
      <c r="O147" s="218">
        <f t="shared" si="2"/>
        <v>0</v>
      </c>
      <c r="P147" s="218">
        <f>O147+SEPT!P147</f>
        <v>0</v>
      </c>
      <c r="Q147" s="59"/>
      <c r="R147" s="51"/>
      <c r="S147" s="65"/>
      <c r="T147" s="64"/>
      <c r="U147" s="67"/>
      <c r="V147" s="74"/>
      <c r="W147" s="6">
        <f>'CLIENT ENROLLMENT DISCHARGE '!M147</f>
        <v>0</v>
      </c>
      <c r="X147" s="76">
        <f>'CLIENT ENROLLMENT DISCHARGE '!L147</f>
        <v>0</v>
      </c>
      <c r="Y147" s="180" t="s">
        <v>0</v>
      </c>
    </row>
    <row r="148" spans="1:25" ht="50.1" customHeight="1" x14ac:dyDescent="0.25">
      <c r="A148" s="5">
        <v>134</v>
      </c>
      <c r="B148" s="10">
        <f>'CLIENT ENROLLMENT DISCHARGE '!B148</f>
        <v>0</v>
      </c>
      <c r="C148" s="4">
        <f>'CLIENT ENROLLMENT DISCHARGE '!C148</f>
        <v>0</v>
      </c>
      <c r="D148" s="52"/>
      <c r="E148" s="53"/>
      <c r="F148" s="52"/>
      <c r="G148" s="53"/>
      <c r="H148" s="63"/>
      <c r="I148" s="116"/>
      <c r="J148" s="3"/>
      <c r="K148" s="71"/>
      <c r="L148" s="53"/>
      <c r="M148" s="2"/>
      <c r="N148" s="1"/>
      <c r="O148" s="218">
        <f t="shared" si="2"/>
        <v>0</v>
      </c>
      <c r="P148" s="218">
        <f>O148+SEPT!P148</f>
        <v>0</v>
      </c>
      <c r="Q148" s="60"/>
      <c r="R148" s="52"/>
      <c r="S148" s="66"/>
      <c r="T148" s="65"/>
      <c r="U148" s="68"/>
      <c r="V148" s="59"/>
      <c r="W148" s="6">
        <f>'CLIENT ENROLLMENT DISCHARGE '!M148</f>
        <v>0</v>
      </c>
      <c r="X148" s="76">
        <f>'CLIENT ENROLLMENT DISCHARGE '!L148</f>
        <v>0</v>
      </c>
      <c r="Y148" s="180" t="s">
        <v>0</v>
      </c>
    </row>
    <row r="149" spans="1:25" ht="50.1" customHeight="1" x14ac:dyDescent="0.25">
      <c r="A149" s="5">
        <v>135</v>
      </c>
      <c r="B149" s="10">
        <f>'CLIENT ENROLLMENT DISCHARGE '!B149</f>
        <v>0</v>
      </c>
      <c r="C149" s="4">
        <f>'CLIENT ENROLLMENT DISCHARGE '!C149</f>
        <v>0</v>
      </c>
      <c r="D149" s="51"/>
      <c r="E149" s="52"/>
      <c r="F149" s="51"/>
      <c r="G149" s="52"/>
      <c r="H149" s="62"/>
      <c r="I149" s="115"/>
      <c r="J149" s="9"/>
      <c r="K149" s="70"/>
      <c r="L149" s="52"/>
      <c r="M149" s="8"/>
      <c r="N149" s="7"/>
      <c r="O149" s="218">
        <f t="shared" si="2"/>
        <v>0</v>
      </c>
      <c r="P149" s="218">
        <f>O149+SEPT!P149</f>
        <v>0</v>
      </c>
      <c r="Q149" s="59"/>
      <c r="R149" s="51"/>
      <c r="S149" s="65"/>
      <c r="T149" s="64"/>
      <c r="U149" s="67"/>
      <c r="V149" s="74"/>
      <c r="W149" s="6">
        <f>'CLIENT ENROLLMENT DISCHARGE '!M149</f>
        <v>0</v>
      </c>
      <c r="X149" s="76">
        <f>'CLIENT ENROLLMENT DISCHARGE '!L149</f>
        <v>0</v>
      </c>
      <c r="Y149" s="180" t="s">
        <v>0</v>
      </c>
    </row>
    <row r="150" spans="1:25" ht="50.1" customHeight="1" x14ac:dyDescent="0.25">
      <c r="A150" s="5">
        <v>136</v>
      </c>
      <c r="B150" s="10">
        <f>'CLIENT ENROLLMENT DISCHARGE '!B150</f>
        <v>0</v>
      </c>
      <c r="C150" s="4">
        <f>'CLIENT ENROLLMENT DISCHARGE '!C150</f>
        <v>0</v>
      </c>
      <c r="D150" s="52"/>
      <c r="E150" s="53"/>
      <c r="F150" s="52"/>
      <c r="G150" s="53"/>
      <c r="H150" s="63"/>
      <c r="I150" s="116"/>
      <c r="J150" s="3"/>
      <c r="K150" s="71"/>
      <c r="L150" s="53"/>
      <c r="M150" s="2"/>
      <c r="N150" s="1"/>
      <c r="O150" s="218">
        <f t="shared" si="2"/>
        <v>0</v>
      </c>
      <c r="P150" s="218">
        <f>O150+SEPT!P150</f>
        <v>0</v>
      </c>
      <c r="Q150" s="60"/>
      <c r="R150" s="52"/>
      <c r="S150" s="66"/>
      <c r="T150" s="65"/>
      <c r="U150" s="68"/>
      <c r="V150" s="75"/>
      <c r="W150" s="6">
        <f>'CLIENT ENROLLMENT DISCHARGE '!M150</f>
        <v>0</v>
      </c>
      <c r="X150" s="76">
        <f>'CLIENT ENROLLMENT DISCHARGE '!L150</f>
        <v>0</v>
      </c>
      <c r="Y150" s="180" t="s">
        <v>0</v>
      </c>
    </row>
    <row r="151" spans="1:25" ht="50.1" customHeight="1" x14ac:dyDescent="0.25">
      <c r="A151" s="5">
        <v>137</v>
      </c>
      <c r="B151" s="10">
        <f>'CLIENT ENROLLMENT DISCHARGE '!B151</f>
        <v>0</v>
      </c>
      <c r="C151" s="4">
        <f>'CLIENT ENROLLMENT DISCHARGE '!C151</f>
        <v>0</v>
      </c>
      <c r="D151" s="51"/>
      <c r="E151" s="52"/>
      <c r="F151" s="51"/>
      <c r="G151" s="52"/>
      <c r="H151" s="62"/>
      <c r="I151" s="115"/>
      <c r="J151" s="9"/>
      <c r="K151" s="70"/>
      <c r="L151" s="52"/>
      <c r="M151" s="8"/>
      <c r="N151" s="7"/>
      <c r="O151" s="218">
        <f t="shared" si="2"/>
        <v>0</v>
      </c>
      <c r="P151" s="218">
        <f>O151+SEPT!P151</f>
        <v>0</v>
      </c>
      <c r="Q151" s="59"/>
      <c r="R151" s="51"/>
      <c r="S151" s="65"/>
      <c r="T151" s="64"/>
      <c r="U151" s="67"/>
      <c r="V151" s="74"/>
      <c r="W151" s="6">
        <f>'CLIENT ENROLLMENT DISCHARGE '!M151</f>
        <v>0</v>
      </c>
      <c r="X151" s="76">
        <f>'CLIENT ENROLLMENT DISCHARGE '!L151</f>
        <v>0</v>
      </c>
      <c r="Y151" s="180" t="s">
        <v>0</v>
      </c>
    </row>
    <row r="152" spans="1:25" ht="50.1" customHeight="1" x14ac:dyDescent="0.25">
      <c r="A152" s="5">
        <v>138</v>
      </c>
      <c r="B152" s="10">
        <f>'CLIENT ENROLLMENT DISCHARGE '!B152</f>
        <v>0</v>
      </c>
      <c r="C152" s="4">
        <f>'CLIENT ENROLLMENT DISCHARGE '!C152</f>
        <v>0</v>
      </c>
      <c r="D152" s="52"/>
      <c r="E152" s="53"/>
      <c r="F152" s="52"/>
      <c r="G152" s="53"/>
      <c r="H152" s="63"/>
      <c r="I152" s="116"/>
      <c r="J152" s="3"/>
      <c r="K152" s="71"/>
      <c r="L152" s="53"/>
      <c r="M152" s="2"/>
      <c r="N152" s="1"/>
      <c r="O152" s="218">
        <f t="shared" si="2"/>
        <v>0</v>
      </c>
      <c r="P152" s="218">
        <f>O152+SEPT!P152</f>
        <v>0</v>
      </c>
      <c r="Q152" s="60"/>
      <c r="R152" s="52"/>
      <c r="S152" s="66"/>
      <c r="T152" s="65"/>
      <c r="U152" s="68"/>
      <c r="V152" s="59"/>
      <c r="W152" s="6">
        <f>'CLIENT ENROLLMENT DISCHARGE '!M152</f>
        <v>0</v>
      </c>
      <c r="X152" s="76">
        <f>'CLIENT ENROLLMENT DISCHARGE '!L152</f>
        <v>0</v>
      </c>
      <c r="Y152" s="180" t="s">
        <v>0</v>
      </c>
    </row>
    <row r="153" spans="1:25" ht="50.1" customHeight="1" x14ac:dyDescent="0.25">
      <c r="A153" s="5">
        <v>139</v>
      </c>
      <c r="B153" s="10">
        <f>'CLIENT ENROLLMENT DISCHARGE '!B153</f>
        <v>0</v>
      </c>
      <c r="C153" s="4">
        <f>'CLIENT ENROLLMENT DISCHARGE '!C153</f>
        <v>0</v>
      </c>
      <c r="D153" s="51"/>
      <c r="E153" s="52"/>
      <c r="F153" s="51"/>
      <c r="G153" s="52"/>
      <c r="H153" s="62"/>
      <c r="I153" s="115"/>
      <c r="J153" s="9"/>
      <c r="K153" s="70"/>
      <c r="L153" s="52"/>
      <c r="M153" s="8"/>
      <c r="N153" s="7"/>
      <c r="O153" s="218">
        <f t="shared" si="2"/>
        <v>0</v>
      </c>
      <c r="P153" s="218">
        <f>O153+SEPT!P153</f>
        <v>0</v>
      </c>
      <c r="Q153" s="59"/>
      <c r="R153" s="51"/>
      <c r="S153" s="65"/>
      <c r="T153" s="64"/>
      <c r="U153" s="67"/>
      <c r="V153" s="74"/>
      <c r="W153" s="6">
        <f>'CLIENT ENROLLMENT DISCHARGE '!M153</f>
        <v>0</v>
      </c>
      <c r="X153" s="76">
        <f>'CLIENT ENROLLMENT DISCHARGE '!L153</f>
        <v>0</v>
      </c>
      <c r="Y153" s="180" t="s">
        <v>0</v>
      </c>
    </row>
    <row r="154" spans="1:25" ht="50.1" customHeight="1" x14ac:dyDescent="0.25">
      <c r="A154" s="5">
        <v>140</v>
      </c>
      <c r="B154" s="10">
        <f>'CLIENT ENROLLMENT DISCHARGE '!B154</f>
        <v>0</v>
      </c>
      <c r="C154" s="4">
        <f>'CLIENT ENROLLMENT DISCHARGE '!C154</f>
        <v>0</v>
      </c>
      <c r="D154" s="52"/>
      <c r="E154" s="53"/>
      <c r="F154" s="52"/>
      <c r="G154" s="53"/>
      <c r="H154" s="63"/>
      <c r="I154" s="116"/>
      <c r="J154" s="3"/>
      <c r="K154" s="71"/>
      <c r="L154" s="53"/>
      <c r="M154" s="2"/>
      <c r="N154" s="1"/>
      <c r="O154" s="218">
        <f t="shared" si="2"/>
        <v>0</v>
      </c>
      <c r="P154" s="218">
        <f>O154+SEPT!P154</f>
        <v>0</v>
      </c>
      <c r="Q154" s="60"/>
      <c r="R154" s="52"/>
      <c r="S154" s="66"/>
      <c r="T154" s="65"/>
      <c r="U154" s="68"/>
      <c r="V154" s="59"/>
      <c r="W154" s="6">
        <f>'CLIENT ENROLLMENT DISCHARGE '!M154</f>
        <v>0</v>
      </c>
      <c r="X154" s="76">
        <f>'CLIENT ENROLLMENT DISCHARGE '!L154</f>
        <v>0</v>
      </c>
      <c r="Y154" s="180" t="s">
        <v>0</v>
      </c>
    </row>
    <row r="155" spans="1:25" ht="50.1" customHeight="1" x14ac:dyDescent="0.25">
      <c r="A155" s="5">
        <v>141</v>
      </c>
      <c r="B155" s="10">
        <f>'CLIENT ENROLLMENT DISCHARGE '!B155</f>
        <v>0</v>
      </c>
      <c r="C155" s="4">
        <f>'CLIENT ENROLLMENT DISCHARGE '!C155</f>
        <v>0</v>
      </c>
      <c r="D155" s="51"/>
      <c r="E155" s="52"/>
      <c r="F155" s="51"/>
      <c r="G155" s="52"/>
      <c r="H155" s="62"/>
      <c r="I155" s="115"/>
      <c r="J155" s="9"/>
      <c r="K155" s="70"/>
      <c r="L155" s="52"/>
      <c r="M155" s="8"/>
      <c r="N155" s="7"/>
      <c r="O155" s="218">
        <f t="shared" si="2"/>
        <v>0</v>
      </c>
      <c r="P155" s="218">
        <f>O155+SEPT!P155</f>
        <v>0</v>
      </c>
      <c r="Q155" s="59"/>
      <c r="R155" s="51"/>
      <c r="S155" s="65"/>
      <c r="T155" s="64"/>
      <c r="U155" s="67"/>
      <c r="V155" s="74"/>
      <c r="W155" s="6">
        <f>'CLIENT ENROLLMENT DISCHARGE '!M155</f>
        <v>0</v>
      </c>
      <c r="X155" s="76">
        <f>'CLIENT ENROLLMENT DISCHARGE '!L155</f>
        <v>0</v>
      </c>
      <c r="Y155" s="180" t="s">
        <v>0</v>
      </c>
    </row>
    <row r="156" spans="1:25" ht="50.1" customHeight="1" x14ac:dyDescent="0.25">
      <c r="A156" s="5">
        <v>142</v>
      </c>
      <c r="B156" s="10">
        <f>'CLIENT ENROLLMENT DISCHARGE '!B156</f>
        <v>0</v>
      </c>
      <c r="C156" s="4">
        <f>'CLIENT ENROLLMENT DISCHARGE '!C156</f>
        <v>0</v>
      </c>
      <c r="D156" s="52"/>
      <c r="E156" s="53"/>
      <c r="F156" s="52"/>
      <c r="G156" s="53"/>
      <c r="H156" s="63"/>
      <c r="I156" s="116"/>
      <c r="J156" s="3"/>
      <c r="K156" s="71"/>
      <c r="L156" s="53"/>
      <c r="M156" s="2"/>
      <c r="N156" s="1"/>
      <c r="O156" s="218">
        <f t="shared" si="2"/>
        <v>0</v>
      </c>
      <c r="P156" s="218">
        <f>O156+SEPT!P156</f>
        <v>0</v>
      </c>
      <c r="Q156" s="60"/>
      <c r="R156" s="52"/>
      <c r="S156" s="66"/>
      <c r="T156" s="65"/>
      <c r="U156" s="68"/>
      <c r="V156" s="59"/>
      <c r="W156" s="6">
        <f>'CLIENT ENROLLMENT DISCHARGE '!M156</f>
        <v>0</v>
      </c>
      <c r="X156" s="76">
        <f>'CLIENT ENROLLMENT DISCHARGE '!L156</f>
        <v>0</v>
      </c>
      <c r="Y156" s="180" t="s">
        <v>0</v>
      </c>
    </row>
    <row r="157" spans="1:25" ht="50.1" customHeight="1" x14ac:dyDescent="0.25">
      <c r="A157" s="5">
        <v>143</v>
      </c>
      <c r="B157" s="10">
        <f>'CLIENT ENROLLMENT DISCHARGE '!B157</f>
        <v>0</v>
      </c>
      <c r="C157" s="4">
        <f>'CLIENT ENROLLMENT DISCHARGE '!C157</f>
        <v>0</v>
      </c>
      <c r="D157" s="51"/>
      <c r="E157" s="52"/>
      <c r="F157" s="51"/>
      <c r="G157" s="52"/>
      <c r="H157" s="62"/>
      <c r="I157" s="115"/>
      <c r="J157" s="9"/>
      <c r="K157" s="70"/>
      <c r="L157" s="52"/>
      <c r="M157" s="8"/>
      <c r="N157" s="7"/>
      <c r="O157" s="218">
        <f t="shared" si="2"/>
        <v>0</v>
      </c>
      <c r="P157" s="218">
        <f>O157+SEPT!P157</f>
        <v>0</v>
      </c>
      <c r="Q157" s="59"/>
      <c r="R157" s="51"/>
      <c r="S157" s="65"/>
      <c r="T157" s="64"/>
      <c r="U157" s="67"/>
      <c r="V157" s="74"/>
      <c r="W157" s="6">
        <f>'CLIENT ENROLLMENT DISCHARGE '!M157</f>
        <v>0</v>
      </c>
      <c r="X157" s="76">
        <f>'CLIENT ENROLLMENT DISCHARGE '!L157</f>
        <v>0</v>
      </c>
      <c r="Y157" s="180" t="s">
        <v>0</v>
      </c>
    </row>
    <row r="158" spans="1:25" ht="50.1" customHeight="1" x14ac:dyDescent="0.25">
      <c r="A158" s="5">
        <v>144</v>
      </c>
      <c r="B158" s="10">
        <f>'CLIENT ENROLLMENT DISCHARGE '!B158</f>
        <v>0</v>
      </c>
      <c r="C158" s="4">
        <f>'CLIENT ENROLLMENT DISCHARGE '!C158</f>
        <v>0</v>
      </c>
      <c r="D158" s="52"/>
      <c r="E158" s="53"/>
      <c r="F158" s="52"/>
      <c r="G158" s="53"/>
      <c r="H158" s="63"/>
      <c r="I158" s="116"/>
      <c r="J158" s="3"/>
      <c r="K158" s="71"/>
      <c r="L158" s="53"/>
      <c r="M158" s="2"/>
      <c r="N158" s="1"/>
      <c r="O158" s="218">
        <f t="shared" si="2"/>
        <v>0</v>
      </c>
      <c r="P158" s="218">
        <f>O158+SEPT!P158</f>
        <v>0</v>
      </c>
      <c r="Q158" s="60"/>
      <c r="R158" s="52"/>
      <c r="S158" s="66"/>
      <c r="T158" s="65"/>
      <c r="U158" s="68"/>
      <c r="V158" s="59"/>
      <c r="W158" s="6">
        <f>'CLIENT ENROLLMENT DISCHARGE '!M158</f>
        <v>0</v>
      </c>
      <c r="X158" s="76">
        <f>'CLIENT ENROLLMENT DISCHARGE '!L158</f>
        <v>0</v>
      </c>
      <c r="Y158" s="180" t="s">
        <v>0</v>
      </c>
    </row>
    <row r="159" spans="1:25" ht="50.1" customHeight="1" x14ac:dyDescent="0.25">
      <c r="A159" s="5">
        <v>145</v>
      </c>
      <c r="B159" s="10">
        <f>'CLIENT ENROLLMENT DISCHARGE '!B159</f>
        <v>0</v>
      </c>
      <c r="C159" s="4">
        <f>'CLIENT ENROLLMENT DISCHARGE '!C159</f>
        <v>0</v>
      </c>
      <c r="D159" s="51"/>
      <c r="E159" s="52"/>
      <c r="F159" s="51"/>
      <c r="G159" s="52"/>
      <c r="H159" s="62"/>
      <c r="I159" s="115"/>
      <c r="J159" s="9"/>
      <c r="K159" s="70"/>
      <c r="L159" s="52"/>
      <c r="M159" s="8"/>
      <c r="N159" s="7"/>
      <c r="O159" s="218">
        <f t="shared" si="2"/>
        <v>0</v>
      </c>
      <c r="P159" s="218">
        <f>O159+SEPT!P159</f>
        <v>0</v>
      </c>
      <c r="Q159" s="59"/>
      <c r="R159" s="51"/>
      <c r="S159" s="65"/>
      <c r="T159" s="64"/>
      <c r="U159" s="67"/>
      <c r="V159" s="74"/>
      <c r="W159" s="6">
        <f>'CLIENT ENROLLMENT DISCHARGE '!M159</f>
        <v>0</v>
      </c>
      <c r="X159" s="76">
        <f>'CLIENT ENROLLMENT DISCHARGE '!L159</f>
        <v>0</v>
      </c>
      <c r="Y159" s="180" t="s">
        <v>0</v>
      </c>
    </row>
    <row r="160" spans="1:25" ht="50.1" customHeight="1" x14ac:dyDescent="0.25">
      <c r="A160" s="5">
        <v>146</v>
      </c>
      <c r="B160" s="10">
        <f>'CLIENT ENROLLMENT DISCHARGE '!B160</f>
        <v>0</v>
      </c>
      <c r="C160" s="4">
        <f>'CLIENT ENROLLMENT DISCHARGE '!C160</f>
        <v>0</v>
      </c>
      <c r="D160" s="52"/>
      <c r="E160" s="53"/>
      <c r="F160" s="52"/>
      <c r="G160" s="53"/>
      <c r="H160" s="63"/>
      <c r="I160" s="116"/>
      <c r="J160" s="3"/>
      <c r="K160" s="71"/>
      <c r="L160" s="53"/>
      <c r="M160" s="2"/>
      <c r="N160" s="1"/>
      <c r="O160" s="218">
        <f t="shared" si="2"/>
        <v>0</v>
      </c>
      <c r="P160" s="218">
        <f>O160+SEPT!P160</f>
        <v>0</v>
      </c>
      <c r="Q160" s="60"/>
      <c r="R160" s="52"/>
      <c r="S160" s="66"/>
      <c r="T160" s="65"/>
      <c r="U160" s="68"/>
      <c r="V160" s="75"/>
      <c r="W160" s="6">
        <f>'CLIENT ENROLLMENT DISCHARGE '!M160</f>
        <v>0</v>
      </c>
      <c r="X160" s="76">
        <f>'CLIENT ENROLLMENT DISCHARGE '!L160</f>
        <v>0</v>
      </c>
      <c r="Y160" s="180" t="s">
        <v>0</v>
      </c>
    </row>
    <row r="161" spans="1:25" ht="50.1" customHeight="1" x14ac:dyDescent="0.25">
      <c r="A161" s="5">
        <v>147</v>
      </c>
      <c r="B161" s="10">
        <f>'CLIENT ENROLLMENT DISCHARGE '!B161</f>
        <v>0</v>
      </c>
      <c r="C161" s="4">
        <f>'CLIENT ENROLLMENT DISCHARGE '!C161</f>
        <v>0</v>
      </c>
      <c r="D161" s="51"/>
      <c r="E161" s="52"/>
      <c r="F161" s="51"/>
      <c r="G161" s="52"/>
      <c r="H161" s="62"/>
      <c r="I161" s="115"/>
      <c r="J161" s="9"/>
      <c r="K161" s="70"/>
      <c r="L161" s="52"/>
      <c r="M161" s="8"/>
      <c r="N161" s="7"/>
      <c r="O161" s="218">
        <f t="shared" si="2"/>
        <v>0</v>
      </c>
      <c r="P161" s="218">
        <f>O161+SEPT!P161</f>
        <v>0</v>
      </c>
      <c r="Q161" s="59"/>
      <c r="R161" s="51"/>
      <c r="S161" s="65"/>
      <c r="T161" s="64"/>
      <c r="U161" s="67"/>
      <c r="V161" s="74"/>
      <c r="W161" s="6">
        <f>'CLIENT ENROLLMENT DISCHARGE '!M161</f>
        <v>0</v>
      </c>
      <c r="X161" s="76">
        <f>'CLIENT ENROLLMENT DISCHARGE '!L161</f>
        <v>0</v>
      </c>
      <c r="Y161" s="180" t="s">
        <v>0</v>
      </c>
    </row>
    <row r="162" spans="1:25" ht="50.1" customHeight="1" x14ac:dyDescent="0.25">
      <c r="A162" s="5">
        <v>148</v>
      </c>
      <c r="B162" s="10">
        <f>'CLIENT ENROLLMENT DISCHARGE '!B162</f>
        <v>0</v>
      </c>
      <c r="C162" s="4">
        <f>'CLIENT ENROLLMENT DISCHARGE '!C162</f>
        <v>0</v>
      </c>
      <c r="D162" s="52"/>
      <c r="E162" s="53"/>
      <c r="F162" s="52"/>
      <c r="G162" s="53"/>
      <c r="H162" s="63"/>
      <c r="I162" s="116"/>
      <c r="J162" s="3"/>
      <c r="K162" s="71"/>
      <c r="L162" s="53"/>
      <c r="M162" s="2"/>
      <c r="N162" s="1"/>
      <c r="O162" s="218">
        <f t="shared" si="2"/>
        <v>0</v>
      </c>
      <c r="P162" s="218">
        <f>O162+SEPT!P162</f>
        <v>0</v>
      </c>
      <c r="Q162" s="60"/>
      <c r="R162" s="52"/>
      <c r="S162" s="66"/>
      <c r="T162" s="65"/>
      <c r="U162" s="68"/>
      <c r="V162" s="59"/>
      <c r="W162" s="6">
        <f>'CLIENT ENROLLMENT DISCHARGE '!M162</f>
        <v>0</v>
      </c>
      <c r="X162" s="76">
        <f>'CLIENT ENROLLMENT DISCHARGE '!L162</f>
        <v>0</v>
      </c>
      <c r="Y162" s="180" t="s">
        <v>0</v>
      </c>
    </row>
    <row r="163" spans="1:25" ht="50.1" customHeight="1" x14ac:dyDescent="0.25">
      <c r="A163" s="5">
        <v>149</v>
      </c>
      <c r="B163" s="10">
        <f>'CLIENT ENROLLMENT DISCHARGE '!B163</f>
        <v>0</v>
      </c>
      <c r="C163" s="4">
        <f>'CLIENT ENROLLMENT DISCHARGE '!C163</f>
        <v>0</v>
      </c>
      <c r="D163" s="51"/>
      <c r="E163" s="52"/>
      <c r="F163" s="51"/>
      <c r="G163" s="52"/>
      <c r="H163" s="62"/>
      <c r="I163" s="115"/>
      <c r="J163" s="9"/>
      <c r="K163" s="70"/>
      <c r="L163" s="52"/>
      <c r="M163" s="8"/>
      <c r="N163" s="7"/>
      <c r="O163" s="218">
        <f t="shared" si="2"/>
        <v>0</v>
      </c>
      <c r="P163" s="218">
        <f>O163+SEPT!P163</f>
        <v>0</v>
      </c>
      <c r="Q163" s="59"/>
      <c r="R163" s="51"/>
      <c r="S163" s="65"/>
      <c r="T163" s="64"/>
      <c r="U163" s="67"/>
      <c r="V163" s="74"/>
      <c r="W163" s="6">
        <f>'CLIENT ENROLLMENT DISCHARGE '!M163</f>
        <v>0</v>
      </c>
      <c r="X163" s="76">
        <f>'CLIENT ENROLLMENT DISCHARGE '!L163</f>
        <v>0</v>
      </c>
      <c r="Y163" s="180" t="s">
        <v>0</v>
      </c>
    </row>
    <row r="164" spans="1:25" ht="50.1" customHeight="1" x14ac:dyDescent="0.25">
      <c r="A164" s="5">
        <v>150</v>
      </c>
      <c r="B164" s="10">
        <f>'CLIENT ENROLLMENT DISCHARGE '!B164</f>
        <v>0</v>
      </c>
      <c r="C164" s="4">
        <f>'CLIENT ENROLLMENT DISCHARGE '!C164</f>
        <v>0</v>
      </c>
      <c r="D164" s="52"/>
      <c r="E164" s="53"/>
      <c r="F164" s="52"/>
      <c r="G164" s="53"/>
      <c r="H164" s="63"/>
      <c r="I164" s="116"/>
      <c r="J164" s="3"/>
      <c r="K164" s="71"/>
      <c r="L164" s="53"/>
      <c r="M164" s="2"/>
      <c r="N164" s="1"/>
      <c r="O164" s="218">
        <f t="shared" si="2"/>
        <v>0</v>
      </c>
      <c r="P164" s="218">
        <f>O164+SEPT!P164</f>
        <v>0</v>
      </c>
      <c r="Q164" s="60"/>
      <c r="R164" s="52"/>
      <c r="S164" s="66"/>
      <c r="T164" s="65"/>
      <c r="U164" s="68"/>
      <c r="V164" s="59"/>
      <c r="W164" s="6">
        <f>'CLIENT ENROLLMENT DISCHARGE '!M164</f>
        <v>0</v>
      </c>
      <c r="X164" s="76">
        <f>'CLIENT ENROLLMENT DISCHARGE '!L164</f>
        <v>0</v>
      </c>
      <c r="Y164" s="180" t="s">
        <v>0</v>
      </c>
    </row>
    <row r="165" spans="1:25" ht="50.1" customHeight="1" x14ac:dyDescent="0.25">
      <c r="A165" s="5">
        <v>151</v>
      </c>
      <c r="B165" s="10">
        <f>'CLIENT ENROLLMENT DISCHARGE '!B165</f>
        <v>0</v>
      </c>
      <c r="C165" s="4">
        <f>'CLIENT ENROLLMENT DISCHARGE '!C165</f>
        <v>0</v>
      </c>
      <c r="D165" s="51"/>
      <c r="E165" s="52"/>
      <c r="F165" s="51"/>
      <c r="G165" s="52"/>
      <c r="H165" s="62"/>
      <c r="I165" s="115"/>
      <c r="J165" s="9"/>
      <c r="K165" s="70"/>
      <c r="L165" s="52"/>
      <c r="M165" s="8"/>
      <c r="N165" s="7"/>
      <c r="O165" s="218">
        <f t="shared" si="2"/>
        <v>0</v>
      </c>
      <c r="P165" s="218">
        <f>O165+SEPT!P165</f>
        <v>0</v>
      </c>
      <c r="Q165" s="59"/>
      <c r="R165" s="51"/>
      <c r="S165" s="65"/>
      <c r="T165" s="64"/>
      <c r="U165" s="67"/>
      <c r="V165" s="74"/>
      <c r="W165" s="6">
        <f>'CLIENT ENROLLMENT DISCHARGE '!M165</f>
        <v>0</v>
      </c>
      <c r="X165" s="76">
        <f>'CLIENT ENROLLMENT DISCHARGE '!L165</f>
        <v>0</v>
      </c>
      <c r="Y165" s="180" t="s">
        <v>0</v>
      </c>
    </row>
    <row r="166" spans="1:25" ht="50.1" customHeight="1" x14ac:dyDescent="0.25">
      <c r="A166" s="5">
        <v>152</v>
      </c>
      <c r="B166" s="10">
        <f>'CLIENT ENROLLMENT DISCHARGE '!B166</f>
        <v>0</v>
      </c>
      <c r="C166" s="4">
        <f>'CLIENT ENROLLMENT DISCHARGE '!C166</f>
        <v>0</v>
      </c>
      <c r="D166" s="52"/>
      <c r="E166" s="53"/>
      <c r="F166" s="52"/>
      <c r="G166" s="53"/>
      <c r="H166" s="63"/>
      <c r="I166" s="116"/>
      <c r="J166" s="3"/>
      <c r="K166" s="71"/>
      <c r="L166" s="53"/>
      <c r="M166" s="2"/>
      <c r="N166" s="1"/>
      <c r="O166" s="218">
        <f t="shared" si="2"/>
        <v>0</v>
      </c>
      <c r="P166" s="218">
        <f>O166+SEPT!P166</f>
        <v>0</v>
      </c>
      <c r="Q166" s="60"/>
      <c r="R166" s="52"/>
      <c r="S166" s="66"/>
      <c r="T166" s="65"/>
      <c r="U166" s="68"/>
      <c r="V166" s="59"/>
      <c r="W166" s="6">
        <f>'CLIENT ENROLLMENT DISCHARGE '!M166</f>
        <v>0</v>
      </c>
      <c r="X166" s="76">
        <f>'CLIENT ENROLLMENT DISCHARGE '!L166</f>
        <v>0</v>
      </c>
      <c r="Y166" s="180" t="s">
        <v>0</v>
      </c>
    </row>
    <row r="167" spans="1:25" ht="50.1" customHeight="1" x14ac:dyDescent="0.25">
      <c r="A167" s="5">
        <v>153</v>
      </c>
      <c r="B167" s="10">
        <f>'CLIENT ENROLLMENT DISCHARGE '!B167</f>
        <v>0</v>
      </c>
      <c r="C167" s="4">
        <f>'CLIENT ENROLLMENT DISCHARGE '!C167</f>
        <v>0</v>
      </c>
      <c r="D167" s="51"/>
      <c r="E167" s="52"/>
      <c r="F167" s="51"/>
      <c r="G167" s="52"/>
      <c r="H167" s="62"/>
      <c r="I167" s="115"/>
      <c r="J167" s="9"/>
      <c r="K167" s="70"/>
      <c r="L167" s="52"/>
      <c r="M167" s="8"/>
      <c r="N167" s="7"/>
      <c r="O167" s="218">
        <f t="shared" si="2"/>
        <v>0</v>
      </c>
      <c r="P167" s="218">
        <f>O167+SEPT!P167</f>
        <v>0</v>
      </c>
      <c r="Q167" s="59"/>
      <c r="R167" s="51"/>
      <c r="S167" s="65"/>
      <c r="T167" s="64"/>
      <c r="U167" s="67"/>
      <c r="V167" s="74"/>
      <c r="W167" s="6">
        <f>'CLIENT ENROLLMENT DISCHARGE '!M167</f>
        <v>0</v>
      </c>
      <c r="X167" s="76">
        <f>'CLIENT ENROLLMENT DISCHARGE '!L167</f>
        <v>0</v>
      </c>
      <c r="Y167" s="180" t="s">
        <v>0</v>
      </c>
    </row>
    <row r="168" spans="1:25" ht="50.1" customHeight="1" x14ac:dyDescent="0.25">
      <c r="A168" s="5">
        <v>154</v>
      </c>
      <c r="B168" s="10">
        <f>'CLIENT ENROLLMENT DISCHARGE '!B168</f>
        <v>0</v>
      </c>
      <c r="C168" s="4">
        <f>'CLIENT ENROLLMENT DISCHARGE '!C168</f>
        <v>0</v>
      </c>
      <c r="D168" s="52"/>
      <c r="E168" s="53"/>
      <c r="F168" s="52"/>
      <c r="G168" s="53"/>
      <c r="H168" s="63"/>
      <c r="I168" s="116"/>
      <c r="J168" s="3"/>
      <c r="K168" s="71"/>
      <c r="L168" s="53"/>
      <c r="M168" s="2"/>
      <c r="N168" s="1"/>
      <c r="O168" s="218">
        <f t="shared" si="2"/>
        <v>0</v>
      </c>
      <c r="P168" s="218">
        <f>O168+SEPT!P168</f>
        <v>0</v>
      </c>
      <c r="Q168" s="60"/>
      <c r="R168" s="52"/>
      <c r="S168" s="66"/>
      <c r="T168" s="65"/>
      <c r="U168" s="68"/>
      <c r="V168" s="59"/>
      <c r="W168" s="6">
        <f>'CLIENT ENROLLMENT DISCHARGE '!M168</f>
        <v>0</v>
      </c>
      <c r="X168" s="76">
        <f>'CLIENT ENROLLMENT DISCHARGE '!L168</f>
        <v>0</v>
      </c>
      <c r="Y168" s="180" t="s">
        <v>0</v>
      </c>
    </row>
    <row r="169" spans="1:25" ht="50.1" customHeight="1" x14ac:dyDescent="0.25">
      <c r="A169" s="5">
        <v>155</v>
      </c>
      <c r="B169" s="10">
        <f>'CLIENT ENROLLMENT DISCHARGE '!B169</f>
        <v>0</v>
      </c>
      <c r="C169" s="4">
        <f>'CLIENT ENROLLMENT DISCHARGE '!C169</f>
        <v>0</v>
      </c>
      <c r="D169" s="51"/>
      <c r="E169" s="52"/>
      <c r="F169" s="51"/>
      <c r="G169" s="52"/>
      <c r="H169" s="62"/>
      <c r="I169" s="115"/>
      <c r="J169" s="9"/>
      <c r="K169" s="70"/>
      <c r="L169" s="52"/>
      <c r="M169" s="8"/>
      <c r="N169" s="7"/>
      <c r="O169" s="218">
        <f t="shared" si="2"/>
        <v>0</v>
      </c>
      <c r="P169" s="218">
        <f>O169+SEPT!P169</f>
        <v>0</v>
      </c>
      <c r="Q169" s="59"/>
      <c r="R169" s="51"/>
      <c r="S169" s="65"/>
      <c r="T169" s="64"/>
      <c r="U169" s="67"/>
      <c r="V169" s="74"/>
      <c r="W169" s="6">
        <f>'CLIENT ENROLLMENT DISCHARGE '!M169</f>
        <v>0</v>
      </c>
      <c r="X169" s="76">
        <f>'CLIENT ENROLLMENT DISCHARGE '!L169</f>
        <v>0</v>
      </c>
      <c r="Y169" s="180" t="s">
        <v>0</v>
      </c>
    </row>
    <row r="170" spans="1:25" ht="50.1" customHeight="1" x14ac:dyDescent="0.25">
      <c r="A170" s="5">
        <v>156</v>
      </c>
      <c r="B170" s="10">
        <f>'CLIENT ENROLLMENT DISCHARGE '!B170</f>
        <v>0</v>
      </c>
      <c r="C170" s="4">
        <f>'CLIENT ENROLLMENT DISCHARGE '!C170</f>
        <v>0</v>
      </c>
      <c r="D170" s="52"/>
      <c r="E170" s="53"/>
      <c r="F170" s="52"/>
      <c r="G170" s="53"/>
      <c r="H170" s="63"/>
      <c r="I170" s="116"/>
      <c r="J170" s="3"/>
      <c r="K170" s="71"/>
      <c r="L170" s="53"/>
      <c r="M170" s="2"/>
      <c r="N170" s="1"/>
      <c r="O170" s="218">
        <f t="shared" si="2"/>
        <v>0</v>
      </c>
      <c r="P170" s="218">
        <f>O170+SEPT!P170</f>
        <v>0</v>
      </c>
      <c r="Q170" s="60"/>
      <c r="R170" s="52"/>
      <c r="S170" s="66"/>
      <c r="T170" s="65"/>
      <c r="U170" s="68"/>
      <c r="V170" s="75"/>
      <c r="W170" s="6">
        <f>'CLIENT ENROLLMENT DISCHARGE '!M170</f>
        <v>0</v>
      </c>
      <c r="X170" s="76">
        <f>'CLIENT ENROLLMENT DISCHARGE '!L170</f>
        <v>0</v>
      </c>
      <c r="Y170" s="180" t="s">
        <v>0</v>
      </c>
    </row>
    <row r="171" spans="1:25" ht="50.1" customHeight="1" x14ac:dyDescent="0.25">
      <c r="A171" s="5">
        <v>157</v>
      </c>
      <c r="B171" s="10">
        <f>'CLIENT ENROLLMENT DISCHARGE '!B171</f>
        <v>0</v>
      </c>
      <c r="C171" s="4">
        <f>'CLIENT ENROLLMENT DISCHARGE '!C171</f>
        <v>0</v>
      </c>
      <c r="D171" s="51"/>
      <c r="E171" s="52"/>
      <c r="F171" s="51"/>
      <c r="G171" s="52"/>
      <c r="H171" s="62"/>
      <c r="I171" s="115"/>
      <c r="J171" s="9"/>
      <c r="K171" s="70"/>
      <c r="L171" s="52"/>
      <c r="M171" s="8"/>
      <c r="N171" s="7"/>
      <c r="O171" s="218">
        <f t="shared" si="2"/>
        <v>0</v>
      </c>
      <c r="P171" s="218">
        <f>O171+SEPT!P171</f>
        <v>0</v>
      </c>
      <c r="Q171" s="59"/>
      <c r="R171" s="51"/>
      <c r="S171" s="65"/>
      <c r="T171" s="64"/>
      <c r="U171" s="67"/>
      <c r="V171" s="74"/>
      <c r="W171" s="6">
        <f>'CLIENT ENROLLMENT DISCHARGE '!M171</f>
        <v>0</v>
      </c>
      <c r="X171" s="76">
        <f>'CLIENT ENROLLMENT DISCHARGE '!L171</f>
        <v>0</v>
      </c>
      <c r="Y171" s="180" t="s">
        <v>0</v>
      </c>
    </row>
    <row r="172" spans="1:25" ht="50.1" customHeight="1" x14ac:dyDescent="0.25">
      <c r="A172" s="5">
        <v>158</v>
      </c>
      <c r="B172" s="10">
        <f>'CLIENT ENROLLMENT DISCHARGE '!B172</f>
        <v>0</v>
      </c>
      <c r="C172" s="4">
        <f>'CLIENT ENROLLMENT DISCHARGE '!C172</f>
        <v>0</v>
      </c>
      <c r="D172" s="52"/>
      <c r="E172" s="53"/>
      <c r="F172" s="52"/>
      <c r="G172" s="53"/>
      <c r="H172" s="63"/>
      <c r="I172" s="116"/>
      <c r="J172" s="3"/>
      <c r="K172" s="71"/>
      <c r="L172" s="53"/>
      <c r="M172" s="2"/>
      <c r="N172" s="1"/>
      <c r="O172" s="218">
        <f t="shared" si="2"/>
        <v>0</v>
      </c>
      <c r="P172" s="218">
        <f>O172+SEPT!P172</f>
        <v>0</v>
      </c>
      <c r="Q172" s="60"/>
      <c r="R172" s="52"/>
      <c r="S172" s="66"/>
      <c r="T172" s="65"/>
      <c r="U172" s="68"/>
      <c r="V172" s="59"/>
      <c r="W172" s="6">
        <f>'CLIENT ENROLLMENT DISCHARGE '!M172</f>
        <v>0</v>
      </c>
      <c r="X172" s="76">
        <f>'CLIENT ENROLLMENT DISCHARGE '!L172</f>
        <v>0</v>
      </c>
      <c r="Y172" s="180" t="s">
        <v>0</v>
      </c>
    </row>
    <row r="173" spans="1:25" ht="50.1" customHeight="1" x14ac:dyDescent="0.25">
      <c r="A173" s="5">
        <v>159</v>
      </c>
      <c r="B173" s="10">
        <f>'CLIENT ENROLLMENT DISCHARGE '!B173</f>
        <v>0</v>
      </c>
      <c r="C173" s="4">
        <f>'CLIENT ENROLLMENT DISCHARGE '!C173</f>
        <v>0</v>
      </c>
      <c r="D173" s="51"/>
      <c r="E173" s="52"/>
      <c r="F173" s="51"/>
      <c r="G173" s="52"/>
      <c r="H173" s="62"/>
      <c r="I173" s="115"/>
      <c r="J173" s="9"/>
      <c r="K173" s="70"/>
      <c r="L173" s="52"/>
      <c r="M173" s="8"/>
      <c r="N173" s="7"/>
      <c r="O173" s="218">
        <f t="shared" si="2"/>
        <v>0</v>
      </c>
      <c r="P173" s="218">
        <f>O173+SEPT!P173</f>
        <v>0</v>
      </c>
      <c r="Q173" s="59"/>
      <c r="R173" s="51"/>
      <c r="S173" s="65"/>
      <c r="T173" s="64"/>
      <c r="U173" s="67"/>
      <c r="V173" s="74"/>
      <c r="W173" s="6">
        <f>'CLIENT ENROLLMENT DISCHARGE '!M173</f>
        <v>0</v>
      </c>
      <c r="X173" s="76">
        <f>'CLIENT ENROLLMENT DISCHARGE '!L173</f>
        <v>0</v>
      </c>
      <c r="Y173" s="180" t="s">
        <v>0</v>
      </c>
    </row>
    <row r="174" spans="1:25" ht="50.1" customHeight="1" x14ac:dyDescent="0.25">
      <c r="A174" s="5">
        <v>160</v>
      </c>
      <c r="B174" s="10">
        <f>'CLIENT ENROLLMENT DISCHARGE '!B174</f>
        <v>0</v>
      </c>
      <c r="C174" s="4">
        <f>'CLIENT ENROLLMENT DISCHARGE '!C174</f>
        <v>0</v>
      </c>
      <c r="D174" s="52"/>
      <c r="E174" s="53"/>
      <c r="F174" s="52"/>
      <c r="G174" s="53"/>
      <c r="H174" s="63"/>
      <c r="I174" s="116"/>
      <c r="J174" s="3"/>
      <c r="K174" s="71"/>
      <c r="L174" s="53"/>
      <c r="M174" s="2"/>
      <c r="N174" s="1"/>
      <c r="O174" s="218">
        <f t="shared" si="2"/>
        <v>0</v>
      </c>
      <c r="P174" s="218">
        <f>O174+SEPT!P174</f>
        <v>0</v>
      </c>
      <c r="Q174" s="60"/>
      <c r="R174" s="52"/>
      <c r="S174" s="66"/>
      <c r="T174" s="65"/>
      <c r="U174" s="68"/>
      <c r="V174" s="59"/>
      <c r="W174" s="6">
        <f>'CLIENT ENROLLMENT DISCHARGE '!M174</f>
        <v>0</v>
      </c>
      <c r="X174" s="76">
        <f>'CLIENT ENROLLMENT DISCHARGE '!L174</f>
        <v>0</v>
      </c>
      <c r="Y174" s="180" t="s">
        <v>0</v>
      </c>
    </row>
    <row r="175" spans="1:25" ht="50.1" customHeight="1" x14ac:dyDescent="0.25">
      <c r="A175" s="5">
        <v>161</v>
      </c>
      <c r="B175" s="10">
        <f>'CLIENT ENROLLMENT DISCHARGE '!B175</f>
        <v>0</v>
      </c>
      <c r="C175" s="4">
        <f>'CLIENT ENROLLMENT DISCHARGE '!C175</f>
        <v>0</v>
      </c>
      <c r="D175" s="51"/>
      <c r="E175" s="52"/>
      <c r="F175" s="51"/>
      <c r="G175" s="52"/>
      <c r="H175" s="62"/>
      <c r="I175" s="115"/>
      <c r="J175" s="9"/>
      <c r="K175" s="70"/>
      <c r="L175" s="52"/>
      <c r="M175" s="8"/>
      <c r="N175" s="7"/>
      <c r="O175" s="218">
        <f t="shared" si="2"/>
        <v>0</v>
      </c>
      <c r="P175" s="218">
        <f>O175+SEPT!P175</f>
        <v>0</v>
      </c>
      <c r="Q175" s="59"/>
      <c r="R175" s="51"/>
      <c r="S175" s="65"/>
      <c r="T175" s="64"/>
      <c r="U175" s="67"/>
      <c r="V175" s="74"/>
      <c r="W175" s="6">
        <f>'CLIENT ENROLLMENT DISCHARGE '!M175</f>
        <v>0</v>
      </c>
      <c r="X175" s="76">
        <f>'CLIENT ENROLLMENT DISCHARGE '!L175</f>
        <v>0</v>
      </c>
      <c r="Y175" s="180" t="s">
        <v>0</v>
      </c>
    </row>
    <row r="176" spans="1:25" ht="50.1" customHeight="1" x14ac:dyDescent="0.25">
      <c r="A176" s="5">
        <v>162</v>
      </c>
      <c r="B176" s="10">
        <f>'CLIENT ENROLLMENT DISCHARGE '!B176</f>
        <v>0</v>
      </c>
      <c r="C176" s="4">
        <f>'CLIENT ENROLLMENT DISCHARGE '!C176</f>
        <v>0</v>
      </c>
      <c r="D176" s="52"/>
      <c r="E176" s="53"/>
      <c r="F176" s="52"/>
      <c r="G176" s="53"/>
      <c r="H176" s="63"/>
      <c r="I176" s="116"/>
      <c r="J176" s="3"/>
      <c r="K176" s="71"/>
      <c r="L176" s="53"/>
      <c r="M176" s="2"/>
      <c r="N176" s="1"/>
      <c r="O176" s="218">
        <f t="shared" si="2"/>
        <v>0</v>
      </c>
      <c r="P176" s="218">
        <f>O176+SEPT!P176</f>
        <v>0</v>
      </c>
      <c r="Q176" s="60"/>
      <c r="R176" s="52"/>
      <c r="S176" s="66"/>
      <c r="T176" s="65"/>
      <c r="U176" s="68"/>
      <c r="V176" s="59"/>
      <c r="W176" s="6">
        <f>'CLIENT ENROLLMENT DISCHARGE '!M176</f>
        <v>0</v>
      </c>
      <c r="X176" s="76">
        <f>'CLIENT ENROLLMENT DISCHARGE '!L176</f>
        <v>0</v>
      </c>
      <c r="Y176" s="180" t="s">
        <v>0</v>
      </c>
    </row>
    <row r="177" spans="1:25" ht="50.1" customHeight="1" x14ac:dyDescent="0.25">
      <c r="A177" s="5">
        <v>163</v>
      </c>
      <c r="B177" s="10">
        <f>'CLIENT ENROLLMENT DISCHARGE '!B177</f>
        <v>0</v>
      </c>
      <c r="C177" s="4">
        <f>'CLIENT ENROLLMENT DISCHARGE '!C177</f>
        <v>0</v>
      </c>
      <c r="D177" s="51"/>
      <c r="E177" s="52"/>
      <c r="F177" s="51"/>
      <c r="G177" s="52"/>
      <c r="H177" s="62"/>
      <c r="I177" s="115"/>
      <c r="J177" s="9"/>
      <c r="K177" s="70"/>
      <c r="L177" s="52"/>
      <c r="M177" s="8"/>
      <c r="N177" s="7"/>
      <c r="O177" s="218">
        <f t="shared" si="2"/>
        <v>0</v>
      </c>
      <c r="P177" s="218">
        <f>O177+SEPT!P177</f>
        <v>0</v>
      </c>
      <c r="Q177" s="59"/>
      <c r="R177" s="51"/>
      <c r="S177" s="65"/>
      <c r="T177" s="64"/>
      <c r="U177" s="67"/>
      <c r="V177" s="74"/>
      <c r="W177" s="6">
        <f>'CLIENT ENROLLMENT DISCHARGE '!M177</f>
        <v>0</v>
      </c>
      <c r="X177" s="76">
        <f>'CLIENT ENROLLMENT DISCHARGE '!L177</f>
        <v>0</v>
      </c>
      <c r="Y177" s="180" t="s">
        <v>0</v>
      </c>
    </row>
    <row r="178" spans="1:25" ht="50.1" customHeight="1" x14ac:dyDescent="0.25">
      <c r="A178" s="5">
        <v>164</v>
      </c>
      <c r="B178" s="10">
        <f>'CLIENT ENROLLMENT DISCHARGE '!B178</f>
        <v>0</v>
      </c>
      <c r="C178" s="4">
        <f>'CLIENT ENROLLMENT DISCHARGE '!C178</f>
        <v>0</v>
      </c>
      <c r="D178" s="52"/>
      <c r="E178" s="53"/>
      <c r="F178" s="52"/>
      <c r="G178" s="53"/>
      <c r="H178" s="63"/>
      <c r="I178" s="116"/>
      <c r="J178" s="3"/>
      <c r="K178" s="71"/>
      <c r="L178" s="53"/>
      <c r="M178" s="2"/>
      <c r="N178" s="1"/>
      <c r="O178" s="218">
        <f t="shared" si="2"/>
        <v>0</v>
      </c>
      <c r="P178" s="218">
        <f>O178+SEPT!P178</f>
        <v>0</v>
      </c>
      <c r="Q178" s="60"/>
      <c r="R178" s="52"/>
      <c r="S178" s="66"/>
      <c r="T178" s="65"/>
      <c r="U178" s="68"/>
      <c r="V178" s="59"/>
      <c r="W178" s="6">
        <f>'CLIENT ENROLLMENT DISCHARGE '!M178</f>
        <v>0</v>
      </c>
      <c r="X178" s="76">
        <f>'CLIENT ENROLLMENT DISCHARGE '!L178</f>
        <v>0</v>
      </c>
      <c r="Y178" s="180" t="s">
        <v>0</v>
      </c>
    </row>
    <row r="179" spans="1:25" ht="50.1" customHeight="1" x14ac:dyDescent="0.25">
      <c r="A179" s="5">
        <v>165</v>
      </c>
      <c r="B179" s="10">
        <f>'CLIENT ENROLLMENT DISCHARGE '!B179</f>
        <v>0</v>
      </c>
      <c r="C179" s="4">
        <f>'CLIENT ENROLLMENT DISCHARGE '!C179</f>
        <v>0</v>
      </c>
      <c r="D179" s="51"/>
      <c r="E179" s="52"/>
      <c r="F179" s="51"/>
      <c r="G179" s="52"/>
      <c r="H179" s="62"/>
      <c r="I179" s="115"/>
      <c r="J179" s="9"/>
      <c r="K179" s="70"/>
      <c r="L179" s="52"/>
      <c r="M179" s="8"/>
      <c r="N179" s="7"/>
      <c r="O179" s="218">
        <f t="shared" si="2"/>
        <v>0</v>
      </c>
      <c r="P179" s="218">
        <f>O179+SEPT!P179</f>
        <v>0</v>
      </c>
      <c r="Q179" s="59"/>
      <c r="R179" s="51"/>
      <c r="S179" s="65"/>
      <c r="T179" s="64"/>
      <c r="U179" s="67"/>
      <c r="V179" s="74"/>
      <c r="W179" s="6">
        <f>'CLIENT ENROLLMENT DISCHARGE '!M179</f>
        <v>0</v>
      </c>
      <c r="X179" s="76">
        <f>'CLIENT ENROLLMENT DISCHARGE '!L179</f>
        <v>0</v>
      </c>
      <c r="Y179" s="180" t="s">
        <v>0</v>
      </c>
    </row>
    <row r="180" spans="1:25" ht="50.1" customHeight="1" x14ac:dyDescent="0.25">
      <c r="A180" s="5">
        <v>166</v>
      </c>
      <c r="B180" s="10">
        <f>'CLIENT ENROLLMENT DISCHARGE '!B180</f>
        <v>0</v>
      </c>
      <c r="C180" s="4">
        <f>'CLIENT ENROLLMENT DISCHARGE '!C180</f>
        <v>0</v>
      </c>
      <c r="D180" s="52"/>
      <c r="E180" s="53"/>
      <c r="F180" s="52"/>
      <c r="G180" s="53"/>
      <c r="H180" s="63"/>
      <c r="I180" s="116"/>
      <c r="J180" s="3"/>
      <c r="K180" s="71"/>
      <c r="L180" s="53"/>
      <c r="M180" s="2"/>
      <c r="N180" s="1"/>
      <c r="O180" s="218">
        <f t="shared" si="2"/>
        <v>0</v>
      </c>
      <c r="P180" s="218">
        <f>O180+SEPT!P180</f>
        <v>0</v>
      </c>
      <c r="Q180" s="60"/>
      <c r="R180" s="52"/>
      <c r="S180" s="66"/>
      <c r="T180" s="65"/>
      <c r="U180" s="68"/>
      <c r="V180" s="75"/>
      <c r="W180" s="6">
        <f>'CLIENT ENROLLMENT DISCHARGE '!M180</f>
        <v>0</v>
      </c>
      <c r="X180" s="76">
        <f>'CLIENT ENROLLMENT DISCHARGE '!L180</f>
        <v>0</v>
      </c>
      <c r="Y180" s="180" t="s">
        <v>0</v>
      </c>
    </row>
    <row r="181" spans="1:25" ht="50.1" customHeight="1" x14ac:dyDescent="0.25">
      <c r="A181" s="5">
        <v>167</v>
      </c>
      <c r="B181" s="10">
        <f>'CLIENT ENROLLMENT DISCHARGE '!B181</f>
        <v>0</v>
      </c>
      <c r="C181" s="4">
        <f>'CLIENT ENROLLMENT DISCHARGE '!C181</f>
        <v>0</v>
      </c>
      <c r="D181" s="51"/>
      <c r="E181" s="52"/>
      <c r="F181" s="51"/>
      <c r="G181" s="52"/>
      <c r="H181" s="62"/>
      <c r="I181" s="115"/>
      <c r="J181" s="9"/>
      <c r="K181" s="70"/>
      <c r="L181" s="52"/>
      <c r="M181" s="8"/>
      <c r="N181" s="7"/>
      <c r="O181" s="218">
        <f t="shared" si="2"/>
        <v>0</v>
      </c>
      <c r="P181" s="218">
        <f>O181+SEPT!P181</f>
        <v>0</v>
      </c>
      <c r="Q181" s="59"/>
      <c r="R181" s="51"/>
      <c r="S181" s="65"/>
      <c r="T181" s="64"/>
      <c r="U181" s="67"/>
      <c r="V181" s="74"/>
      <c r="W181" s="6">
        <f>'CLIENT ENROLLMENT DISCHARGE '!M181</f>
        <v>0</v>
      </c>
      <c r="X181" s="76">
        <f>'CLIENT ENROLLMENT DISCHARGE '!L181</f>
        <v>0</v>
      </c>
      <c r="Y181" s="180" t="s">
        <v>0</v>
      </c>
    </row>
    <row r="182" spans="1:25" ht="50.1" customHeight="1" x14ac:dyDescent="0.25">
      <c r="A182" s="5">
        <v>168</v>
      </c>
      <c r="B182" s="10">
        <f>'CLIENT ENROLLMENT DISCHARGE '!B182</f>
        <v>0</v>
      </c>
      <c r="C182" s="4">
        <f>'CLIENT ENROLLMENT DISCHARGE '!C182</f>
        <v>0</v>
      </c>
      <c r="D182" s="52"/>
      <c r="E182" s="53"/>
      <c r="F182" s="52"/>
      <c r="G182" s="53"/>
      <c r="H182" s="63"/>
      <c r="I182" s="116"/>
      <c r="J182" s="3"/>
      <c r="K182" s="71"/>
      <c r="L182" s="53"/>
      <c r="M182" s="2"/>
      <c r="N182" s="1"/>
      <c r="O182" s="218">
        <f t="shared" si="2"/>
        <v>0</v>
      </c>
      <c r="P182" s="218">
        <f>O182+SEPT!P182</f>
        <v>0</v>
      </c>
      <c r="Q182" s="60"/>
      <c r="R182" s="52"/>
      <c r="S182" s="66"/>
      <c r="T182" s="65"/>
      <c r="U182" s="68"/>
      <c r="V182" s="59"/>
      <c r="W182" s="6">
        <f>'CLIENT ENROLLMENT DISCHARGE '!M182</f>
        <v>0</v>
      </c>
      <c r="X182" s="76">
        <f>'CLIENT ENROLLMENT DISCHARGE '!L182</f>
        <v>0</v>
      </c>
      <c r="Y182" s="180" t="s">
        <v>0</v>
      </c>
    </row>
    <row r="183" spans="1:25" ht="50.1" customHeight="1" x14ac:dyDescent="0.25">
      <c r="A183" s="5">
        <v>169</v>
      </c>
      <c r="B183" s="10">
        <f>'CLIENT ENROLLMENT DISCHARGE '!B183</f>
        <v>0</v>
      </c>
      <c r="C183" s="4">
        <f>'CLIENT ENROLLMENT DISCHARGE '!C183</f>
        <v>0</v>
      </c>
      <c r="D183" s="51"/>
      <c r="E183" s="52"/>
      <c r="F183" s="51"/>
      <c r="G183" s="52"/>
      <c r="H183" s="62"/>
      <c r="I183" s="115"/>
      <c r="J183" s="9"/>
      <c r="K183" s="70"/>
      <c r="L183" s="52"/>
      <c r="M183" s="8"/>
      <c r="N183" s="7"/>
      <c r="O183" s="218">
        <f t="shared" si="2"/>
        <v>0</v>
      </c>
      <c r="P183" s="218">
        <f>O183+SEPT!P183</f>
        <v>0</v>
      </c>
      <c r="Q183" s="59"/>
      <c r="R183" s="51"/>
      <c r="S183" s="65"/>
      <c r="T183" s="64"/>
      <c r="U183" s="67"/>
      <c r="V183" s="74"/>
      <c r="W183" s="6">
        <f>'CLIENT ENROLLMENT DISCHARGE '!M183</f>
        <v>0</v>
      </c>
      <c r="X183" s="76">
        <f>'CLIENT ENROLLMENT DISCHARGE '!L183</f>
        <v>0</v>
      </c>
      <c r="Y183" s="180" t="s">
        <v>0</v>
      </c>
    </row>
    <row r="184" spans="1:25" ht="50.1" customHeight="1" x14ac:dyDescent="0.25">
      <c r="A184" s="5">
        <v>170</v>
      </c>
      <c r="B184" s="10">
        <f>'CLIENT ENROLLMENT DISCHARGE '!B184</f>
        <v>0</v>
      </c>
      <c r="C184" s="4">
        <f>'CLIENT ENROLLMENT DISCHARGE '!C184</f>
        <v>0</v>
      </c>
      <c r="D184" s="52"/>
      <c r="E184" s="53"/>
      <c r="F184" s="52"/>
      <c r="G184" s="53"/>
      <c r="H184" s="63"/>
      <c r="I184" s="116"/>
      <c r="J184" s="3"/>
      <c r="K184" s="71"/>
      <c r="L184" s="53"/>
      <c r="M184" s="2"/>
      <c r="N184" s="1"/>
      <c r="O184" s="218">
        <f t="shared" si="2"/>
        <v>0</v>
      </c>
      <c r="P184" s="218">
        <f>O184+SEPT!P184</f>
        <v>0</v>
      </c>
      <c r="Q184" s="60"/>
      <c r="R184" s="52"/>
      <c r="S184" s="66"/>
      <c r="T184" s="65"/>
      <c r="U184" s="68"/>
      <c r="V184" s="59"/>
      <c r="W184" s="6">
        <f>'CLIENT ENROLLMENT DISCHARGE '!M184</f>
        <v>0</v>
      </c>
      <c r="X184" s="76">
        <f>'CLIENT ENROLLMENT DISCHARGE '!L184</f>
        <v>0</v>
      </c>
      <c r="Y184" s="180" t="s">
        <v>0</v>
      </c>
    </row>
    <row r="185" spans="1:25" ht="50.1" customHeight="1" x14ac:dyDescent="0.25">
      <c r="A185" s="5">
        <v>171</v>
      </c>
      <c r="B185" s="10">
        <f>'CLIENT ENROLLMENT DISCHARGE '!B185</f>
        <v>0</v>
      </c>
      <c r="C185" s="4">
        <f>'CLIENT ENROLLMENT DISCHARGE '!C185</f>
        <v>0</v>
      </c>
      <c r="D185" s="51"/>
      <c r="E185" s="52"/>
      <c r="F185" s="51"/>
      <c r="G185" s="52"/>
      <c r="H185" s="62"/>
      <c r="I185" s="115"/>
      <c r="J185" s="9"/>
      <c r="K185" s="70"/>
      <c r="L185" s="52"/>
      <c r="M185" s="8"/>
      <c r="N185" s="7"/>
      <c r="O185" s="218">
        <f t="shared" si="2"/>
        <v>0</v>
      </c>
      <c r="P185" s="218">
        <f>O185+SEPT!P185</f>
        <v>0</v>
      </c>
      <c r="Q185" s="59"/>
      <c r="R185" s="51"/>
      <c r="S185" s="65"/>
      <c r="T185" s="64"/>
      <c r="U185" s="67"/>
      <c r="V185" s="74"/>
      <c r="W185" s="6">
        <f>'CLIENT ENROLLMENT DISCHARGE '!M185</f>
        <v>0</v>
      </c>
      <c r="X185" s="76">
        <f>'CLIENT ENROLLMENT DISCHARGE '!L185</f>
        <v>0</v>
      </c>
      <c r="Y185" s="180" t="s">
        <v>0</v>
      </c>
    </row>
    <row r="186" spans="1:25" ht="50.1" customHeight="1" x14ac:dyDescent="0.25">
      <c r="A186" s="5">
        <v>172</v>
      </c>
      <c r="B186" s="10">
        <f>'CLIENT ENROLLMENT DISCHARGE '!B186</f>
        <v>0</v>
      </c>
      <c r="C186" s="4">
        <f>'CLIENT ENROLLMENT DISCHARGE '!C186</f>
        <v>0</v>
      </c>
      <c r="D186" s="52"/>
      <c r="E186" s="53"/>
      <c r="F186" s="52"/>
      <c r="G186" s="53"/>
      <c r="H186" s="63"/>
      <c r="I186" s="116"/>
      <c r="J186" s="3"/>
      <c r="K186" s="71"/>
      <c r="L186" s="53"/>
      <c r="M186" s="2"/>
      <c r="N186" s="1"/>
      <c r="O186" s="218">
        <f t="shared" si="2"/>
        <v>0</v>
      </c>
      <c r="P186" s="218">
        <f>O186+SEPT!P186</f>
        <v>0</v>
      </c>
      <c r="Q186" s="60"/>
      <c r="R186" s="52"/>
      <c r="S186" s="66"/>
      <c r="T186" s="65"/>
      <c r="U186" s="68"/>
      <c r="V186" s="59"/>
      <c r="W186" s="6">
        <f>'CLIENT ENROLLMENT DISCHARGE '!M186</f>
        <v>0</v>
      </c>
      <c r="X186" s="76">
        <f>'CLIENT ENROLLMENT DISCHARGE '!L186</f>
        <v>0</v>
      </c>
      <c r="Y186" s="180" t="s">
        <v>0</v>
      </c>
    </row>
    <row r="187" spans="1:25" ht="50.1" customHeight="1" x14ac:dyDescent="0.25">
      <c r="A187" s="5">
        <v>173</v>
      </c>
      <c r="B187" s="10">
        <f>'CLIENT ENROLLMENT DISCHARGE '!B187</f>
        <v>0</v>
      </c>
      <c r="C187" s="4">
        <f>'CLIENT ENROLLMENT DISCHARGE '!C187</f>
        <v>0</v>
      </c>
      <c r="D187" s="51"/>
      <c r="E187" s="52"/>
      <c r="F187" s="51"/>
      <c r="G187" s="52"/>
      <c r="H187" s="62"/>
      <c r="I187" s="115"/>
      <c r="J187" s="9"/>
      <c r="K187" s="70"/>
      <c r="L187" s="52"/>
      <c r="M187" s="8"/>
      <c r="N187" s="7"/>
      <c r="O187" s="218">
        <f t="shared" si="2"/>
        <v>0</v>
      </c>
      <c r="P187" s="218">
        <f>O187+SEPT!P187</f>
        <v>0</v>
      </c>
      <c r="Q187" s="59"/>
      <c r="R187" s="51"/>
      <c r="S187" s="65"/>
      <c r="T187" s="64"/>
      <c r="U187" s="67"/>
      <c r="V187" s="74"/>
      <c r="W187" s="6">
        <f>'CLIENT ENROLLMENT DISCHARGE '!M187</f>
        <v>0</v>
      </c>
      <c r="X187" s="76">
        <f>'CLIENT ENROLLMENT DISCHARGE '!L187</f>
        <v>0</v>
      </c>
      <c r="Y187" s="180" t="s">
        <v>0</v>
      </c>
    </row>
    <row r="188" spans="1:25" ht="50.1" customHeight="1" x14ac:dyDescent="0.25">
      <c r="A188" s="5">
        <v>174</v>
      </c>
      <c r="B188" s="10">
        <f>'CLIENT ENROLLMENT DISCHARGE '!B188</f>
        <v>0</v>
      </c>
      <c r="C188" s="4">
        <f>'CLIENT ENROLLMENT DISCHARGE '!C188</f>
        <v>0</v>
      </c>
      <c r="D188" s="52"/>
      <c r="E188" s="53"/>
      <c r="F188" s="52"/>
      <c r="G188" s="53"/>
      <c r="H188" s="63"/>
      <c r="I188" s="116"/>
      <c r="J188" s="3"/>
      <c r="K188" s="71"/>
      <c r="L188" s="53"/>
      <c r="M188" s="2"/>
      <c r="N188" s="1"/>
      <c r="O188" s="218">
        <f t="shared" si="2"/>
        <v>0</v>
      </c>
      <c r="P188" s="218">
        <f>O188+SEPT!P188</f>
        <v>0</v>
      </c>
      <c r="Q188" s="60"/>
      <c r="R188" s="52"/>
      <c r="S188" s="66"/>
      <c r="T188" s="65"/>
      <c r="U188" s="68"/>
      <c r="V188" s="59"/>
      <c r="W188" s="6">
        <f>'CLIENT ENROLLMENT DISCHARGE '!M188</f>
        <v>0</v>
      </c>
      <c r="X188" s="76">
        <f>'CLIENT ENROLLMENT DISCHARGE '!L188</f>
        <v>0</v>
      </c>
      <c r="Y188" s="180" t="s">
        <v>0</v>
      </c>
    </row>
    <row r="189" spans="1:25" ht="50.1" customHeight="1" x14ac:dyDescent="0.25">
      <c r="A189" s="5">
        <v>175</v>
      </c>
      <c r="B189" s="10">
        <f>'CLIENT ENROLLMENT DISCHARGE '!B189</f>
        <v>0</v>
      </c>
      <c r="C189" s="4">
        <f>'CLIENT ENROLLMENT DISCHARGE '!C189</f>
        <v>0</v>
      </c>
      <c r="D189" s="51"/>
      <c r="E189" s="52"/>
      <c r="F189" s="51"/>
      <c r="G189" s="52"/>
      <c r="H189" s="62"/>
      <c r="I189" s="115"/>
      <c r="J189" s="9"/>
      <c r="K189" s="70"/>
      <c r="L189" s="52"/>
      <c r="M189" s="8"/>
      <c r="N189" s="7"/>
      <c r="O189" s="218">
        <f t="shared" si="2"/>
        <v>0</v>
      </c>
      <c r="P189" s="218">
        <f>O189+SEPT!P189</f>
        <v>0</v>
      </c>
      <c r="Q189" s="59"/>
      <c r="R189" s="51"/>
      <c r="S189" s="65"/>
      <c r="T189" s="64"/>
      <c r="U189" s="67"/>
      <c r="V189" s="74"/>
      <c r="W189" s="6">
        <f>'CLIENT ENROLLMENT DISCHARGE '!M189</f>
        <v>0</v>
      </c>
      <c r="X189" s="76">
        <f>'CLIENT ENROLLMENT DISCHARGE '!L189</f>
        <v>0</v>
      </c>
      <c r="Y189" s="180" t="s">
        <v>0</v>
      </c>
    </row>
    <row r="190" spans="1:25" ht="50.1" customHeight="1" x14ac:dyDescent="0.25">
      <c r="A190" s="5">
        <v>176</v>
      </c>
      <c r="B190" s="10">
        <f>'CLIENT ENROLLMENT DISCHARGE '!B190</f>
        <v>0</v>
      </c>
      <c r="C190" s="4">
        <f>'CLIENT ENROLLMENT DISCHARGE '!C190</f>
        <v>0</v>
      </c>
      <c r="D190" s="52"/>
      <c r="E190" s="53"/>
      <c r="F190" s="52"/>
      <c r="G190" s="53"/>
      <c r="H190" s="63"/>
      <c r="I190" s="116"/>
      <c r="J190" s="3"/>
      <c r="K190" s="71"/>
      <c r="L190" s="53"/>
      <c r="M190" s="2"/>
      <c r="N190" s="1"/>
      <c r="O190" s="218">
        <f t="shared" si="2"/>
        <v>0</v>
      </c>
      <c r="P190" s="218">
        <f>O190+SEPT!P190</f>
        <v>0</v>
      </c>
      <c r="Q190" s="60"/>
      <c r="R190" s="52"/>
      <c r="S190" s="66"/>
      <c r="T190" s="65"/>
      <c r="U190" s="68"/>
      <c r="V190" s="75"/>
      <c r="W190" s="6">
        <f>'CLIENT ENROLLMENT DISCHARGE '!M190</f>
        <v>0</v>
      </c>
      <c r="X190" s="76">
        <f>'CLIENT ENROLLMENT DISCHARGE '!L190</f>
        <v>0</v>
      </c>
      <c r="Y190" s="180" t="s">
        <v>0</v>
      </c>
    </row>
    <row r="191" spans="1:25" ht="50.1" customHeight="1" x14ac:dyDescent="0.25">
      <c r="A191" s="5">
        <v>177</v>
      </c>
      <c r="B191" s="10">
        <f>'CLIENT ENROLLMENT DISCHARGE '!B191</f>
        <v>0</v>
      </c>
      <c r="C191" s="4">
        <f>'CLIENT ENROLLMENT DISCHARGE '!C191</f>
        <v>0</v>
      </c>
      <c r="D191" s="51"/>
      <c r="E191" s="52"/>
      <c r="F191" s="51"/>
      <c r="G191" s="52"/>
      <c r="H191" s="62"/>
      <c r="I191" s="115"/>
      <c r="J191" s="9"/>
      <c r="K191" s="70"/>
      <c r="L191" s="52"/>
      <c r="M191" s="8"/>
      <c r="N191" s="7"/>
      <c r="O191" s="218">
        <f t="shared" si="2"/>
        <v>0</v>
      </c>
      <c r="P191" s="218">
        <f>O191+SEPT!P191</f>
        <v>0</v>
      </c>
      <c r="Q191" s="59"/>
      <c r="R191" s="51"/>
      <c r="S191" s="65"/>
      <c r="T191" s="64"/>
      <c r="U191" s="67"/>
      <c r="V191" s="74"/>
      <c r="W191" s="6">
        <f>'CLIENT ENROLLMENT DISCHARGE '!M191</f>
        <v>0</v>
      </c>
      <c r="X191" s="76">
        <f>'CLIENT ENROLLMENT DISCHARGE '!L191</f>
        <v>0</v>
      </c>
      <c r="Y191" s="180" t="s">
        <v>0</v>
      </c>
    </row>
    <row r="192" spans="1:25" ht="50.1" customHeight="1" x14ac:dyDescent="0.25">
      <c r="A192" s="5">
        <v>178</v>
      </c>
      <c r="B192" s="10">
        <f>'CLIENT ENROLLMENT DISCHARGE '!B192</f>
        <v>0</v>
      </c>
      <c r="C192" s="4">
        <f>'CLIENT ENROLLMENT DISCHARGE '!C192</f>
        <v>0</v>
      </c>
      <c r="D192" s="52"/>
      <c r="E192" s="53"/>
      <c r="F192" s="52"/>
      <c r="G192" s="53"/>
      <c r="H192" s="63"/>
      <c r="I192" s="116"/>
      <c r="J192" s="3"/>
      <c r="K192" s="71"/>
      <c r="L192" s="53"/>
      <c r="M192" s="2"/>
      <c r="N192" s="1"/>
      <c r="O192" s="218">
        <f t="shared" si="2"/>
        <v>0</v>
      </c>
      <c r="P192" s="218">
        <f>O192+SEPT!P192</f>
        <v>0</v>
      </c>
      <c r="Q192" s="60"/>
      <c r="R192" s="52"/>
      <c r="S192" s="66"/>
      <c r="T192" s="65"/>
      <c r="U192" s="68"/>
      <c r="V192" s="59"/>
      <c r="W192" s="6">
        <f>'CLIENT ENROLLMENT DISCHARGE '!M192</f>
        <v>0</v>
      </c>
      <c r="X192" s="76">
        <f>'CLIENT ENROLLMENT DISCHARGE '!L192</f>
        <v>0</v>
      </c>
      <c r="Y192" s="180" t="s">
        <v>0</v>
      </c>
    </row>
    <row r="193" spans="1:25" ht="50.1" customHeight="1" x14ac:dyDescent="0.25">
      <c r="A193" s="5">
        <v>179</v>
      </c>
      <c r="B193" s="10">
        <f>'CLIENT ENROLLMENT DISCHARGE '!B193</f>
        <v>0</v>
      </c>
      <c r="C193" s="4">
        <f>'CLIENT ENROLLMENT DISCHARGE '!C193</f>
        <v>0</v>
      </c>
      <c r="D193" s="51"/>
      <c r="E193" s="52"/>
      <c r="F193" s="51"/>
      <c r="G193" s="52"/>
      <c r="H193" s="62"/>
      <c r="I193" s="115"/>
      <c r="J193" s="9"/>
      <c r="K193" s="70"/>
      <c r="L193" s="52"/>
      <c r="M193" s="8"/>
      <c r="N193" s="7"/>
      <c r="O193" s="218">
        <f t="shared" si="2"/>
        <v>0</v>
      </c>
      <c r="P193" s="218">
        <f>O193+SEPT!P193</f>
        <v>0</v>
      </c>
      <c r="Q193" s="59"/>
      <c r="R193" s="51"/>
      <c r="S193" s="65"/>
      <c r="T193" s="64"/>
      <c r="U193" s="67"/>
      <c r="V193" s="74"/>
      <c r="W193" s="6">
        <f>'CLIENT ENROLLMENT DISCHARGE '!M193</f>
        <v>0</v>
      </c>
      <c r="X193" s="76">
        <f>'CLIENT ENROLLMENT DISCHARGE '!L193</f>
        <v>0</v>
      </c>
      <c r="Y193" s="180" t="s">
        <v>0</v>
      </c>
    </row>
    <row r="194" spans="1:25" ht="50.1" customHeight="1" x14ac:dyDescent="0.25">
      <c r="A194" s="5">
        <v>180</v>
      </c>
      <c r="B194" s="10">
        <f>'CLIENT ENROLLMENT DISCHARGE '!B194</f>
        <v>0</v>
      </c>
      <c r="C194" s="4">
        <f>'CLIENT ENROLLMENT DISCHARGE '!C194</f>
        <v>0</v>
      </c>
      <c r="D194" s="52"/>
      <c r="E194" s="53"/>
      <c r="F194" s="52"/>
      <c r="G194" s="53"/>
      <c r="H194" s="63"/>
      <c r="I194" s="116"/>
      <c r="J194" s="3"/>
      <c r="K194" s="71"/>
      <c r="L194" s="53"/>
      <c r="M194" s="2"/>
      <c r="N194" s="1"/>
      <c r="O194" s="218">
        <f t="shared" si="2"/>
        <v>0</v>
      </c>
      <c r="P194" s="218">
        <f>O194+SEPT!P194</f>
        <v>0</v>
      </c>
      <c r="Q194" s="60"/>
      <c r="R194" s="52"/>
      <c r="S194" s="66"/>
      <c r="T194" s="65"/>
      <c r="U194" s="68"/>
      <c r="V194" s="59"/>
      <c r="W194" s="6">
        <f>'CLIENT ENROLLMENT DISCHARGE '!M194</f>
        <v>0</v>
      </c>
      <c r="X194" s="76">
        <f>'CLIENT ENROLLMENT DISCHARGE '!L194</f>
        <v>0</v>
      </c>
      <c r="Y194" s="180" t="s">
        <v>0</v>
      </c>
    </row>
    <row r="195" spans="1:25" ht="50.1" customHeight="1" x14ac:dyDescent="0.25">
      <c r="A195" s="5">
        <v>181</v>
      </c>
      <c r="B195" s="10">
        <f>'CLIENT ENROLLMENT DISCHARGE '!B195</f>
        <v>0</v>
      </c>
      <c r="C195" s="4">
        <f>'CLIENT ENROLLMENT DISCHARGE '!C195</f>
        <v>0</v>
      </c>
      <c r="D195" s="51"/>
      <c r="E195" s="52"/>
      <c r="F195" s="51"/>
      <c r="G195" s="52"/>
      <c r="H195" s="62"/>
      <c r="I195" s="115"/>
      <c r="J195" s="9"/>
      <c r="K195" s="70"/>
      <c r="L195" s="52"/>
      <c r="M195" s="8"/>
      <c r="N195" s="7"/>
      <c r="O195" s="218">
        <f t="shared" si="2"/>
        <v>0</v>
      </c>
      <c r="P195" s="218">
        <f>O195+SEPT!P195</f>
        <v>0</v>
      </c>
      <c r="Q195" s="59"/>
      <c r="R195" s="51"/>
      <c r="S195" s="65"/>
      <c r="T195" s="64"/>
      <c r="U195" s="67"/>
      <c r="V195" s="74"/>
      <c r="W195" s="6">
        <f>'CLIENT ENROLLMENT DISCHARGE '!M195</f>
        <v>0</v>
      </c>
      <c r="X195" s="76">
        <f>'CLIENT ENROLLMENT DISCHARGE '!L195</f>
        <v>0</v>
      </c>
      <c r="Y195" s="180" t="s">
        <v>0</v>
      </c>
    </row>
    <row r="196" spans="1:25" ht="50.1" customHeight="1" x14ac:dyDescent="0.25">
      <c r="A196" s="5">
        <v>182</v>
      </c>
      <c r="B196" s="10">
        <f>'CLIENT ENROLLMENT DISCHARGE '!B196</f>
        <v>0</v>
      </c>
      <c r="C196" s="4">
        <f>'CLIENT ENROLLMENT DISCHARGE '!C196</f>
        <v>0</v>
      </c>
      <c r="D196" s="52"/>
      <c r="E196" s="53"/>
      <c r="F196" s="52"/>
      <c r="G196" s="53"/>
      <c r="H196" s="63"/>
      <c r="I196" s="116"/>
      <c r="J196" s="3"/>
      <c r="K196" s="71"/>
      <c r="L196" s="53"/>
      <c r="M196" s="2"/>
      <c r="N196" s="1"/>
      <c r="O196" s="218">
        <f t="shared" si="2"/>
        <v>0</v>
      </c>
      <c r="P196" s="218">
        <f>O196+SEPT!P196</f>
        <v>0</v>
      </c>
      <c r="Q196" s="60"/>
      <c r="R196" s="52"/>
      <c r="S196" s="66"/>
      <c r="T196" s="65"/>
      <c r="U196" s="68"/>
      <c r="V196" s="59"/>
      <c r="W196" s="6">
        <f>'CLIENT ENROLLMENT DISCHARGE '!M196</f>
        <v>0</v>
      </c>
      <c r="X196" s="76">
        <f>'CLIENT ENROLLMENT DISCHARGE '!L196</f>
        <v>0</v>
      </c>
      <c r="Y196" s="180" t="s">
        <v>0</v>
      </c>
    </row>
    <row r="197" spans="1:25" ht="50.1" customHeight="1" x14ac:dyDescent="0.25">
      <c r="A197" s="5">
        <v>183</v>
      </c>
      <c r="B197" s="10">
        <f>'CLIENT ENROLLMENT DISCHARGE '!B197</f>
        <v>0</v>
      </c>
      <c r="C197" s="4">
        <f>'CLIENT ENROLLMENT DISCHARGE '!C197</f>
        <v>0</v>
      </c>
      <c r="D197" s="51"/>
      <c r="E197" s="52"/>
      <c r="F197" s="51"/>
      <c r="G197" s="52"/>
      <c r="H197" s="62"/>
      <c r="I197" s="115"/>
      <c r="J197" s="9"/>
      <c r="K197" s="70"/>
      <c r="L197" s="52"/>
      <c r="M197" s="8"/>
      <c r="N197" s="7"/>
      <c r="O197" s="218">
        <f t="shared" si="2"/>
        <v>0</v>
      </c>
      <c r="P197" s="218">
        <f>O197+SEPT!P197</f>
        <v>0</v>
      </c>
      <c r="Q197" s="59"/>
      <c r="R197" s="51"/>
      <c r="S197" s="65"/>
      <c r="T197" s="64"/>
      <c r="U197" s="67"/>
      <c r="V197" s="74"/>
      <c r="W197" s="6">
        <f>'CLIENT ENROLLMENT DISCHARGE '!M197</f>
        <v>0</v>
      </c>
      <c r="X197" s="76">
        <f>'CLIENT ENROLLMENT DISCHARGE '!L197</f>
        <v>0</v>
      </c>
      <c r="Y197" s="180" t="s">
        <v>0</v>
      </c>
    </row>
    <row r="198" spans="1:25" ht="50.1" customHeight="1" x14ac:dyDescent="0.25">
      <c r="A198" s="5">
        <v>184</v>
      </c>
      <c r="B198" s="10">
        <f>'CLIENT ENROLLMENT DISCHARGE '!B198</f>
        <v>0</v>
      </c>
      <c r="C198" s="4">
        <f>'CLIENT ENROLLMENT DISCHARGE '!C198</f>
        <v>0</v>
      </c>
      <c r="D198" s="52"/>
      <c r="E198" s="53"/>
      <c r="F198" s="52"/>
      <c r="G198" s="53"/>
      <c r="H198" s="63"/>
      <c r="I198" s="116"/>
      <c r="J198" s="3"/>
      <c r="K198" s="71"/>
      <c r="L198" s="53"/>
      <c r="M198" s="2"/>
      <c r="N198" s="1"/>
      <c r="O198" s="218">
        <f t="shared" si="2"/>
        <v>0</v>
      </c>
      <c r="P198" s="218">
        <f>O198+SEPT!P198</f>
        <v>0</v>
      </c>
      <c r="Q198" s="60"/>
      <c r="R198" s="52"/>
      <c r="S198" s="66"/>
      <c r="T198" s="65"/>
      <c r="U198" s="68"/>
      <c r="V198" s="59"/>
      <c r="W198" s="6">
        <f>'CLIENT ENROLLMENT DISCHARGE '!M198</f>
        <v>0</v>
      </c>
      <c r="X198" s="76">
        <f>'CLIENT ENROLLMENT DISCHARGE '!L198</f>
        <v>0</v>
      </c>
      <c r="Y198" s="180" t="s">
        <v>0</v>
      </c>
    </row>
    <row r="199" spans="1:25" ht="50.1" customHeight="1" x14ac:dyDescent="0.25">
      <c r="A199" s="5">
        <v>185</v>
      </c>
      <c r="B199" s="10">
        <f>'CLIENT ENROLLMENT DISCHARGE '!B199</f>
        <v>0</v>
      </c>
      <c r="C199" s="4">
        <f>'CLIENT ENROLLMENT DISCHARGE '!C199</f>
        <v>0</v>
      </c>
      <c r="D199" s="51"/>
      <c r="E199" s="52"/>
      <c r="F199" s="51"/>
      <c r="G199" s="52"/>
      <c r="H199" s="62"/>
      <c r="I199" s="115"/>
      <c r="J199" s="9"/>
      <c r="K199" s="70"/>
      <c r="L199" s="52"/>
      <c r="M199" s="8"/>
      <c r="N199" s="7"/>
      <c r="O199" s="218">
        <f t="shared" si="2"/>
        <v>0</v>
      </c>
      <c r="P199" s="218">
        <f>O199+SEPT!P199</f>
        <v>0</v>
      </c>
      <c r="Q199" s="59"/>
      <c r="R199" s="51"/>
      <c r="S199" s="65"/>
      <c r="T199" s="64"/>
      <c r="U199" s="67"/>
      <c r="V199" s="74"/>
      <c r="W199" s="6">
        <f>'CLIENT ENROLLMENT DISCHARGE '!M199</f>
        <v>0</v>
      </c>
      <c r="X199" s="76">
        <f>'CLIENT ENROLLMENT DISCHARGE '!L199</f>
        <v>0</v>
      </c>
      <c r="Y199" s="180" t="s">
        <v>0</v>
      </c>
    </row>
    <row r="200" spans="1:25" ht="50.1" customHeight="1" x14ac:dyDescent="0.25">
      <c r="A200" s="5">
        <v>186</v>
      </c>
      <c r="B200" s="10">
        <f>'CLIENT ENROLLMENT DISCHARGE '!B200</f>
        <v>0</v>
      </c>
      <c r="C200" s="4">
        <f>'CLIENT ENROLLMENT DISCHARGE '!C200</f>
        <v>0</v>
      </c>
      <c r="D200" s="52"/>
      <c r="E200" s="53"/>
      <c r="F200" s="52"/>
      <c r="G200" s="53"/>
      <c r="H200" s="63"/>
      <c r="I200" s="116"/>
      <c r="J200" s="3"/>
      <c r="K200" s="71"/>
      <c r="L200" s="53"/>
      <c r="M200" s="2"/>
      <c r="N200" s="1"/>
      <c r="O200" s="218">
        <f t="shared" si="2"/>
        <v>0</v>
      </c>
      <c r="P200" s="218">
        <f>O200+SEPT!P200</f>
        <v>0</v>
      </c>
      <c r="Q200" s="60"/>
      <c r="R200" s="52"/>
      <c r="S200" s="66"/>
      <c r="T200" s="65"/>
      <c r="U200" s="68"/>
      <c r="V200" s="75"/>
      <c r="W200" s="6">
        <f>'CLIENT ENROLLMENT DISCHARGE '!M200</f>
        <v>0</v>
      </c>
      <c r="X200" s="76">
        <f>'CLIENT ENROLLMENT DISCHARGE '!L200</f>
        <v>0</v>
      </c>
      <c r="Y200" s="180" t="s">
        <v>0</v>
      </c>
    </row>
    <row r="201" spans="1:25" ht="50.1" customHeight="1" x14ac:dyDescent="0.25">
      <c r="A201" s="5">
        <v>187</v>
      </c>
      <c r="B201" s="10">
        <f>'CLIENT ENROLLMENT DISCHARGE '!B201</f>
        <v>0</v>
      </c>
      <c r="C201" s="4">
        <f>'CLIENT ENROLLMENT DISCHARGE '!C201</f>
        <v>0</v>
      </c>
      <c r="D201" s="51"/>
      <c r="E201" s="52"/>
      <c r="F201" s="51"/>
      <c r="G201" s="52"/>
      <c r="H201" s="62"/>
      <c r="I201" s="115"/>
      <c r="J201" s="9"/>
      <c r="K201" s="70"/>
      <c r="L201" s="52"/>
      <c r="M201" s="8"/>
      <c r="N201" s="7"/>
      <c r="O201" s="218">
        <f t="shared" si="2"/>
        <v>0</v>
      </c>
      <c r="P201" s="218">
        <f>O201+SEPT!P201</f>
        <v>0</v>
      </c>
      <c r="Q201" s="59"/>
      <c r="R201" s="51"/>
      <c r="S201" s="65"/>
      <c r="T201" s="64"/>
      <c r="U201" s="67"/>
      <c r="V201" s="74"/>
      <c r="W201" s="6">
        <f>'CLIENT ENROLLMENT DISCHARGE '!M201</f>
        <v>0</v>
      </c>
      <c r="X201" s="76">
        <f>'CLIENT ENROLLMENT DISCHARGE '!L201</f>
        <v>0</v>
      </c>
      <c r="Y201" s="180" t="s">
        <v>0</v>
      </c>
    </row>
    <row r="202" spans="1:25" ht="50.1" customHeight="1" x14ac:dyDescent="0.25">
      <c r="A202" s="5">
        <v>188</v>
      </c>
      <c r="B202" s="10">
        <f>'CLIENT ENROLLMENT DISCHARGE '!B202</f>
        <v>0</v>
      </c>
      <c r="C202" s="4">
        <f>'CLIENT ENROLLMENT DISCHARGE '!C202</f>
        <v>0</v>
      </c>
      <c r="D202" s="52"/>
      <c r="E202" s="53"/>
      <c r="F202" s="52"/>
      <c r="G202" s="53"/>
      <c r="H202" s="63"/>
      <c r="I202" s="116"/>
      <c r="J202" s="3"/>
      <c r="K202" s="71"/>
      <c r="L202" s="53"/>
      <c r="M202" s="2"/>
      <c r="N202" s="1"/>
      <c r="O202" s="218">
        <f t="shared" si="2"/>
        <v>0</v>
      </c>
      <c r="P202" s="218">
        <f>O202+SEPT!P202</f>
        <v>0</v>
      </c>
      <c r="Q202" s="60"/>
      <c r="R202" s="52"/>
      <c r="S202" s="66"/>
      <c r="T202" s="65"/>
      <c r="U202" s="68"/>
      <c r="V202" s="59"/>
      <c r="W202" s="6">
        <f>'CLIENT ENROLLMENT DISCHARGE '!M202</f>
        <v>0</v>
      </c>
      <c r="X202" s="76">
        <f>'CLIENT ENROLLMENT DISCHARGE '!L202</f>
        <v>0</v>
      </c>
      <c r="Y202" s="180" t="s">
        <v>0</v>
      </c>
    </row>
    <row r="203" spans="1:25" ht="50.1" customHeight="1" x14ac:dyDescent="0.25">
      <c r="A203" s="5">
        <v>189</v>
      </c>
      <c r="B203" s="10">
        <f>'CLIENT ENROLLMENT DISCHARGE '!B203</f>
        <v>0</v>
      </c>
      <c r="C203" s="4">
        <f>'CLIENT ENROLLMENT DISCHARGE '!C203</f>
        <v>0</v>
      </c>
      <c r="D203" s="51"/>
      <c r="E203" s="52"/>
      <c r="F203" s="51"/>
      <c r="G203" s="52"/>
      <c r="H203" s="62"/>
      <c r="I203" s="115"/>
      <c r="J203" s="9"/>
      <c r="K203" s="70"/>
      <c r="L203" s="52"/>
      <c r="M203" s="8"/>
      <c r="N203" s="7"/>
      <c r="O203" s="218">
        <f t="shared" si="2"/>
        <v>0</v>
      </c>
      <c r="P203" s="218">
        <f>O203+SEPT!P203</f>
        <v>0</v>
      </c>
      <c r="Q203" s="59"/>
      <c r="R203" s="51"/>
      <c r="S203" s="65"/>
      <c r="T203" s="64"/>
      <c r="U203" s="67"/>
      <c r="V203" s="74"/>
      <c r="W203" s="6">
        <f>'CLIENT ENROLLMENT DISCHARGE '!M203</f>
        <v>0</v>
      </c>
      <c r="X203" s="76">
        <f>'CLIENT ENROLLMENT DISCHARGE '!L203</f>
        <v>0</v>
      </c>
      <c r="Y203" s="180" t="s">
        <v>0</v>
      </c>
    </row>
    <row r="204" spans="1:25" ht="50.1" customHeight="1" x14ac:dyDescent="0.25">
      <c r="A204" s="5">
        <v>190</v>
      </c>
      <c r="B204" s="10">
        <f>'CLIENT ENROLLMENT DISCHARGE '!B204</f>
        <v>0</v>
      </c>
      <c r="C204" s="4">
        <f>'CLIENT ENROLLMENT DISCHARGE '!C204</f>
        <v>0</v>
      </c>
      <c r="D204" s="52"/>
      <c r="E204" s="53"/>
      <c r="F204" s="52"/>
      <c r="G204" s="53"/>
      <c r="H204" s="63"/>
      <c r="I204" s="116"/>
      <c r="J204" s="3"/>
      <c r="K204" s="71"/>
      <c r="L204" s="53"/>
      <c r="M204" s="2"/>
      <c r="N204" s="1"/>
      <c r="O204" s="218">
        <f t="shared" si="2"/>
        <v>0</v>
      </c>
      <c r="P204" s="218">
        <f>O204+SEPT!P204</f>
        <v>0</v>
      </c>
      <c r="Q204" s="60"/>
      <c r="R204" s="52"/>
      <c r="S204" s="66"/>
      <c r="T204" s="65"/>
      <c r="U204" s="68"/>
      <c r="V204" s="59"/>
      <c r="W204" s="6">
        <f>'CLIENT ENROLLMENT DISCHARGE '!M204</f>
        <v>0</v>
      </c>
      <c r="X204" s="76">
        <f>'CLIENT ENROLLMENT DISCHARGE '!L204</f>
        <v>0</v>
      </c>
      <c r="Y204" s="180" t="s">
        <v>0</v>
      </c>
    </row>
    <row r="205" spans="1:25" ht="50.1" customHeight="1" x14ac:dyDescent="0.25">
      <c r="A205" s="5">
        <v>191</v>
      </c>
      <c r="B205" s="10">
        <f>'CLIENT ENROLLMENT DISCHARGE '!B205</f>
        <v>0</v>
      </c>
      <c r="C205" s="4">
        <f>'CLIENT ENROLLMENT DISCHARGE '!C205</f>
        <v>0</v>
      </c>
      <c r="D205" s="51"/>
      <c r="E205" s="52"/>
      <c r="F205" s="51"/>
      <c r="G205" s="52"/>
      <c r="H205" s="62"/>
      <c r="I205" s="115"/>
      <c r="J205" s="9"/>
      <c r="K205" s="70"/>
      <c r="L205" s="52"/>
      <c r="M205" s="8"/>
      <c r="N205" s="7"/>
      <c r="O205" s="218">
        <f t="shared" si="2"/>
        <v>0</v>
      </c>
      <c r="P205" s="218">
        <f>O205+SEPT!P205</f>
        <v>0</v>
      </c>
      <c r="Q205" s="59"/>
      <c r="R205" s="51"/>
      <c r="S205" s="65"/>
      <c r="T205" s="64"/>
      <c r="U205" s="67"/>
      <c r="V205" s="74"/>
      <c r="W205" s="6">
        <f>'CLIENT ENROLLMENT DISCHARGE '!M205</f>
        <v>0</v>
      </c>
      <c r="X205" s="76">
        <f>'CLIENT ENROLLMENT DISCHARGE '!L205</f>
        <v>0</v>
      </c>
      <c r="Y205" s="180" t="s">
        <v>0</v>
      </c>
    </row>
    <row r="206" spans="1:25" ht="50.1" customHeight="1" x14ac:dyDescent="0.25">
      <c r="A206" s="5">
        <v>192</v>
      </c>
      <c r="B206" s="10">
        <f>'CLIENT ENROLLMENT DISCHARGE '!B206</f>
        <v>0</v>
      </c>
      <c r="C206" s="4">
        <f>'CLIENT ENROLLMENT DISCHARGE '!C206</f>
        <v>0</v>
      </c>
      <c r="D206" s="52"/>
      <c r="E206" s="53"/>
      <c r="F206" s="52"/>
      <c r="G206" s="53"/>
      <c r="H206" s="63"/>
      <c r="I206" s="116"/>
      <c r="J206" s="3"/>
      <c r="K206" s="71"/>
      <c r="L206" s="53"/>
      <c r="M206" s="2"/>
      <c r="N206" s="1"/>
      <c r="O206" s="218">
        <f t="shared" si="2"/>
        <v>0</v>
      </c>
      <c r="P206" s="218">
        <f>O206+SEPT!P206</f>
        <v>0</v>
      </c>
      <c r="Q206" s="60"/>
      <c r="R206" s="52"/>
      <c r="S206" s="66"/>
      <c r="T206" s="65"/>
      <c r="U206" s="68"/>
      <c r="V206" s="59"/>
      <c r="W206" s="6">
        <f>'CLIENT ENROLLMENT DISCHARGE '!M206</f>
        <v>0</v>
      </c>
      <c r="X206" s="76">
        <f>'CLIENT ENROLLMENT DISCHARGE '!L206</f>
        <v>0</v>
      </c>
      <c r="Y206" s="180" t="s">
        <v>0</v>
      </c>
    </row>
    <row r="207" spans="1:25" ht="50.1" customHeight="1" x14ac:dyDescent="0.25">
      <c r="A207" s="5">
        <v>193</v>
      </c>
      <c r="B207" s="10">
        <f>'CLIENT ENROLLMENT DISCHARGE '!B207</f>
        <v>0</v>
      </c>
      <c r="C207" s="4">
        <f>'CLIENT ENROLLMENT DISCHARGE '!C207</f>
        <v>0</v>
      </c>
      <c r="D207" s="51"/>
      <c r="E207" s="52"/>
      <c r="F207" s="51"/>
      <c r="G207" s="52"/>
      <c r="H207" s="62"/>
      <c r="I207" s="115"/>
      <c r="J207" s="9"/>
      <c r="K207" s="70"/>
      <c r="L207" s="52"/>
      <c r="M207" s="8"/>
      <c r="N207" s="7"/>
      <c r="O207" s="218">
        <f t="shared" si="2"/>
        <v>0</v>
      </c>
      <c r="P207" s="218">
        <f>O207+SEPT!P207</f>
        <v>0</v>
      </c>
      <c r="Q207" s="59"/>
      <c r="R207" s="51"/>
      <c r="S207" s="65"/>
      <c r="T207" s="64"/>
      <c r="U207" s="67"/>
      <c r="V207" s="74"/>
      <c r="W207" s="6">
        <f>'CLIENT ENROLLMENT DISCHARGE '!M207</f>
        <v>0</v>
      </c>
      <c r="X207" s="76">
        <f>'CLIENT ENROLLMENT DISCHARGE '!L207</f>
        <v>0</v>
      </c>
      <c r="Y207" s="180" t="s">
        <v>0</v>
      </c>
    </row>
    <row r="208" spans="1:25" ht="50.1" customHeight="1" x14ac:dyDescent="0.25">
      <c r="A208" s="5">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3">K208*N208</f>
        <v>0</v>
      </c>
      <c r="P208" s="218">
        <f>O208+SEPT!P208</f>
        <v>0</v>
      </c>
      <c r="Q208" s="60"/>
      <c r="R208" s="52"/>
      <c r="S208" s="66"/>
      <c r="T208" s="65"/>
      <c r="U208" s="68"/>
      <c r="V208" s="59"/>
      <c r="W208" s="6">
        <f>'CLIENT ENROLLMENT DISCHARGE '!M208</f>
        <v>0</v>
      </c>
      <c r="X208" s="76">
        <f>'CLIENT ENROLLMENT DISCHARGE '!L208</f>
        <v>0</v>
      </c>
      <c r="Y208" s="180" t="s">
        <v>0</v>
      </c>
    </row>
    <row r="209" spans="1:25" ht="50.1" customHeight="1" x14ac:dyDescent="0.25">
      <c r="A209" s="5">
        <v>195</v>
      </c>
      <c r="B209" s="10">
        <f>'CLIENT ENROLLMENT DISCHARGE '!B209</f>
        <v>0</v>
      </c>
      <c r="C209" s="4">
        <f>'CLIENT ENROLLMENT DISCHARGE '!C209</f>
        <v>0</v>
      </c>
      <c r="D209" s="51"/>
      <c r="E209" s="52"/>
      <c r="F209" s="51"/>
      <c r="G209" s="52"/>
      <c r="H209" s="62"/>
      <c r="I209" s="115"/>
      <c r="J209" s="9"/>
      <c r="K209" s="70"/>
      <c r="L209" s="52"/>
      <c r="M209" s="8"/>
      <c r="N209" s="7"/>
      <c r="O209" s="218">
        <f t="shared" si="3"/>
        <v>0</v>
      </c>
      <c r="P209" s="218">
        <f>O209+SEPT!P209</f>
        <v>0</v>
      </c>
      <c r="Q209" s="59"/>
      <c r="R209" s="51"/>
      <c r="S209" s="65"/>
      <c r="T209" s="64"/>
      <c r="U209" s="67"/>
      <c r="V209" s="74"/>
      <c r="W209" s="6">
        <f>'CLIENT ENROLLMENT DISCHARGE '!M209</f>
        <v>0</v>
      </c>
      <c r="X209" s="76">
        <f>'CLIENT ENROLLMENT DISCHARGE '!L209</f>
        <v>0</v>
      </c>
      <c r="Y209" s="180" t="s">
        <v>0</v>
      </c>
    </row>
    <row r="210" spans="1:25" ht="50.1" customHeight="1" x14ac:dyDescent="0.25">
      <c r="A210" s="5">
        <v>196</v>
      </c>
      <c r="B210" s="10">
        <f>'CLIENT ENROLLMENT DISCHARGE '!B210</f>
        <v>0</v>
      </c>
      <c r="C210" s="4">
        <f>'CLIENT ENROLLMENT DISCHARGE '!C210</f>
        <v>0</v>
      </c>
      <c r="D210" s="52"/>
      <c r="E210" s="53"/>
      <c r="F210" s="52"/>
      <c r="G210" s="53"/>
      <c r="H210" s="63"/>
      <c r="I210" s="116"/>
      <c r="J210" s="3"/>
      <c r="K210" s="71"/>
      <c r="L210" s="53"/>
      <c r="M210" s="2"/>
      <c r="N210" s="1"/>
      <c r="O210" s="218">
        <f t="shared" si="3"/>
        <v>0</v>
      </c>
      <c r="P210" s="218">
        <f>O210+SEPT!P210</f>
        <v>0</v>
      </c>
      <c r="Q210" s="60"/>
      <c r="R210" s="52"/>
      <c r="S210" s="66"/>
      <c r="T210" s="65"/>
      <c r="U210" s="68"/>
      <c r="V210" s="75"/>
      <c r="W210" s="6">
        <f>'CLIENT ENROLLMENT DISCHARGE '!M210</f>
        <v>0</v>
      </c>
      <c r="X210" s="76">
        <f>'CLIENT ENROLLMENT DISCHARGE '!L210</f>
        <v>0</v>
      </c>
      <c r="Y210" s="180" t="s">
        <v>0</v>
      </c>
    </row>
    <row r="211" spans="1:25" ht="50.1" customHeight="1" x14ac:dyDescent="0.25">
      <c r="A211" s="5">
        <v>197</v>
      </c>
      <c r="B211" s="10">
        <f>'CLIENT ENROLLMENT DISCHARGE '!B211</f>
        <v>0</v>
      </c>
      <c r="C211" s="4">
        <f>'CLIENT ENROLLMENT DISCHARGE '!C211</f>
        <v>0</v>
      </c>
      <c r="D211" s="51"/>
      <c r="E211" s="52"/>
      <c r="F211" s="51"/>
      <c r="G211" s="52"/>
      <c r="H211" s="62"/>
      <c r="I211" s="115"/>
      <c r="J211" s="9"/>
      <c r="K211" s="70"/>
      <c r="L211" s="52"/>
      <c r="M211" s="8"/>
      <c r="N211" s="7"/>
      <c r="O211" s="218">
        <f t="shared" si="3"/>
        <v>0</v>
      </c>
      <c r="P211" s="218">
        <f>O211+SEPT!P211</f>
        <v>0</v>
      </c>
      <c r="Q211" s="59"/>
      <c r="R211" s="51"/>
      <c r="S211" s="65"/>
      <c r="T211" s="64"/>
      <c r="U211" s="67"/>
      <c r="V211" s="74"/>
      <c r="W211" s="6">
        <f>'CLIENT ENROLLMENT DISCHARGE '!M211</f>
        <v>0</v>
      </c>
      <c r="X211" s="76">
        <f>'CLIENT ENROLLMENT DISCHARGE '!L211</f>
        <v>0</v>
      </c>
      <c r="Y211" s="180" t="s">
        <v>0</v>
      </c>
    </row>
    <row r="212" spans="1:25" ht="50.1" customHeight="1" x14ac:dyDescent="0.25">
      <c r="A212" s="5">
        <v>198</v>
      </c>
      <c r="B212" s="10">
        <f>'CLIENT ENROLLMENT DISCHARGE '!B212</f>
        <v>0</v>
      </c>
      <c r="C212" s="4">
        <f>'CLIENT ENROLLMENT DISCHARGE '!C212</f>
        <v>0</v>
      </c>
      <c r="D212" s="52"/>
      <c r="E212" s="53"/>
      <c r="F212" s="52"/>
      <c r="G212" s="53"/>
      <c r="H212" s="63"/>
      <c r="I212" s="116"/>
      <c r="J212" s="3"/>
      <c r="K212" s="71"/>
      <c r="L212" s="53"/>
      <c r="M212" s="2"/>
      <c r="N212" s="1"/>
      <c r="O212" s="218">
        <f t="shared" si="3"/>
        <v>0</v>
      </c>
      <c r="P212" s="218">
        <f>O212+SEPT!P212</f>
        <v>0</v>
      </c>
      <c r="Q212" s="60"/>
      <c r="R212" s="52"/>
      <c r="S212" s="66"/>
      <c r="T212" s="65"/>
      <c r="U212" s="68"/>
      <c r="V212" s="59"/>
      <c r="W212" s="6">
        <f>'CLIENT ENROLLMENT DISCHARGE '!M212</f>
        <v>0</v>
      </c>
      <c r="X212" s="76">
        <f>'CLIENT ENROLLMENT DISCHARGE '!L212</f>
        <v>0</v>
      </c>
      <c r="Y212" s="180" t="s">
        <v>0</v>
      </c>
    </row>
    <row r="213" spans="1:25" ht="50.1" customHeight="1" x14ac:dyDescent="0.25">
      <c r="A213" s="5">
        <v>199</v>
      </c>
      <c r="B213" s="10">
        <f>'CLIENT ENROLLMENT DISCHARGE '!B213</f>
        <v>0</v>
      </c>
      <c r="C213" s="4">
        <f>'CLIENT ENROLLMENT DISCHARGE '!C213</f>
        <v>0</v>
      </c>
      <c r="D213" s="51"/>
      <c r="E213" s="52"/>
      <c r="F213" s="51"/>
      <c r="G213" s="52"/>
      <c r="H213" s="62"/>
      <c r="I213" s="115"/>
      <c r="J213" s="9"/>
      <c r="K213" s="70"/>
      <c r="L213" s="52"/>
      <c r="M213" s="8"/>
      <c r="N213" s="7"/>
      <c r="O213" s="218">
        <f t="shared" si="3"/>
        <v>0</v>
      </c>
      <c r="P213" s="218">
        <f>O213+SEPT!P213</f>
        <v>0</v>
      </c>
      <c r="Q213" s="59"/>
      <c r="R213" s="51"/>
      <c r="S213" s="65"/>
      <c r="T213" s="64"/>
      <c r="U213" s="67"/>
      <c r="V213" s="74"/>
      <c r="W213" s="6">
        <f>'CLIENT ENROLLMENT DISCHARGE '!M213</f>
        <v>0</v>
      </c>
      <c r="X213" s="76">
        <f>'CLIENT ENROLLMENT DISCHARGE '!L213</f>
        <v>0</v>
      </c>
      <c r="Y213" s="180" t="s">
        <v>0</v>
      </c>
    </row>
    <row r="214" spans="1:25" ht="50.1" customHeight="1" x14ac:dyDescent="0.25">
      <c r="A214" s="5">
        <v>200</v>
      </c>
      <c r="B214" s="10">
        <f>'CLIENT ENROLLMENT DISCHARGE '!B214</f>
        <v>0</v>
      </c>
      <c r="C214" s="4">
        <f>'CLIENT ENROLLMENT DISCHARGE '!C214</f>
        <v>0</v>
      </c>
      <c r="D214" s="52"/>
      <c r="E214" s="53"/>
      <c r="F214" s="52"/>
      <c r="G214" s="53"/>
      <c r="H214" s="63"/>
      <c r="I214" s="116"/>
      <c r="J214" s="3"/>
      <c r="K214" s="71"/>
      <c r="L214" s="53"/>
      <c r="M214" s="2"/>
      <c r="N214" s="1"/>
      <c r="O214" s="218">
        <f t="shared" si="3"/>
        <v>0</v>
      </c>
      <c r="P214" s="218">
        <f>O214+SEPT!P214</f>
        <v>0</v>
      </c>
      <c r="Q214" s="60"/>
      <c r="R214" s="52"/>
      <c r="S214" s="66"/>
      <c r="T214" s="65"/>
      <c r="U214" s="68"/>
      <c r="V214" s="59"/>
      <c r="W214" s="6">
        <f>'CLIENT ENROLLMENT DISCHARGE '!M214</f>
        <v>0</v>
      </c>
      <c r="X214" s="76">
        <f>'CLIENT ENROLLMENT DISCHARGE '!L214</f>
        <v>0</v>
      </c>
      <c r="Y214" s="180" t="s">
        <v>0</v>
      </c>
    </row>
    <row r="215" spans="1:25" ht="50.1" customHeight="1" x14ac:dyDescent="0.25">
      <c r="A215" s="5">
        <v>201</v>
      </c>
      <c r="B215" s="10">
        <f>'CLIENT ENROLLMENT DISCHARGE '!B215</f>
        <v>0</v>
      </c>
      <c r="C215" s="4">
        <f>'CLIENT ENROLLMENT DISCHARGE '!C215</f>
        <v>0</v>
      </c>
      <c r="D215" s="51"/>
      <c r="E215" s="52"/>
      <c r="F215" s="51"/>
      <c r="G215" s="52"/>
      <c r="H215" s="62"/>
      <c r="I215" s="115"/>
      <c r="J215" s="9"/>
      <c r="K215" s="70"/>
      <c r="L215" s="52"/>
      <c r="M215" s="8"/>
      <c r="N215" s="7"/>
      <c r="O215" s="218">
        <f t="shared" si="3"/>
        <v>0</v>
      </c>
      <c r="P215" s="218">
        <f>O215+SEPT!P215</f>
        <v>0</v>
      </c>
      <c r="Q215" s="59"/>
      <c r="R215" s="51"/>
      <c r="S215" s="65"/>
      <c r="T215" s="64"/>
      <c r="U215" s="67"/>
      <c r="V215" s="74"/>
      <c r="W215" s="6">
        <f>'CLIENT ENROLLMENT DISCHARGE '!M215</f>
        <v>0</v>
      </c>
      <c r="X215" s="76">
        <f>'CLIENT ENROLLMENT DISCHARGE '!L215</f>
        <v>0</v>
      </c>
      <c r="Y215" s="180" t="s">
        <v>0</v>
      </c>
    </row>
    <row r="216" spans="1:25" ht="50.1" customHeight="1" x14ac:dyDescent="0.25">
      <c r="A216" s="5">
        <v>202</v>
      </c>
      <c r="B216" s="10">
        <f>'CLIENT ENROLLMENT DISCHARGE '!B216</f>
        <v>0</v>
      </c>
      <c r="C216" s="4">
        <f>'CLIENT ENROLLMENT DISCHARGE '!C216</f>
        <v>0</v>
      </c>
      <c r="D216" s="52"/>
      <c r="E216" s="53"/>
      <c r="F216" s="52"/>
      <c r="G216" s="53"/>
      <c r="H216" s="63"/>
      <c r="I216" s="116"/>
      <c r="J216" s="3"/>
      <c r="K216" s="71"/>
      <c r="L216" s="53"/>
      <c r="M216" s="2"/>
      <c r="N216" s="1"/>
      <c r="O216" s="218">
        <f t="shared" si="3"/>
        <v>0</v>
      </c>
      <c r="P216" s="218">
        <f>O216+SEPT!P216</f>
        <v>0</v>
      </c>
      <c r="Q216" s="60"/>
      <c r="R216" s="52"/>
      <c r="S216" s="66"/>
      <c r="T216" s="65"/>
      <c r="U216" s="68"/>
      <c r="V216" s="59"/>
      <c r="W216" s="6">
        <f>'CLIENT ENROLLMENT DISCHARGE '!M216</f>
        <v>0</v>
      </c>
      <c r="X216" s="76">
        <f>'CLIENT ENROLLMENT DISCHARGE '!L216</f>
        <v>0</v>
      </c>
      <c r="Y216" s="180" t="s">
        <v>0</v>
      </c>
    </row>
    <row r="217" spans="1:25" ht="50.1" customHeight="1" x14ac:dyDescent="0.25">
      <c r="A217" s="5">
        <v>203</v>
      </c>
      <c r="B217" s="10">
        <f>'CLIENT ENROLLMENT DISCHARGE '!B217</f>
        <v>0</v>
      </c>
      <c r="C217" s="4">
        <f>'CLIENT ENROLLMENT DISCHARGE '!C217</f>
        <v>0</v>
      </c>
      <c r="D217" s="51"/>
      <c r="E217" s="52"/>
      <c r="F217" s="51"/>
      <c r="G217" s="52"/>
      <c r="H217" s="62"/>
      <c r="I217" s="115"/>
      <c r="J217" s="9"/>
      <c r="K217" s="70"/>
      <c r="L217" s="52"/>
      <c r="M217" s="8"/>
      <c r="N217" s="7"/>
      <c r="O217" s="218">
        <f t="shared" si="3"/>
        <v>0</v>
      </c>
      <c r="P217" s="218">
        <f>O217+SEPT!P217</f>
        <v>0</v>
      </c>
      <c r="Q217" s="59"/>
      <c r="R217" s="51"/>
      <c r="S217" s="65"/>
      <c r="T217" s="64"/>
      <c r="U217" s="67"/>
      <c r="V217" s="74"/>
      <c r="W217" s="6">
        <f>'CLIENT ENROLLMENT DISCHARGE '!M217</f>
        <v>0</v>
      </c>
      <c r="X217" s="76">
        <f>'CLIENT ENROLLMENT DISCHARGE '!L217</f>
        <v>0</v>
      </c>
      <c r="Y217" s="180" t="s">
        <v>0</v>
      </c>
    </row>
    <row r="218" spans="1:25" ht="50.1" customHeight="1" x14ac:dyDescent="0.25">
      <c r="A218" s="5">
        <v>204</v>
      </c>
      <c r="B218" s="10">
        <f>'CLIENT ENROLLMENT DISCHARGE '!B218</f>
        <v>0</v>
      </c>
      <c r="C218" s="4">
        <f>'CLIENT ENROLLMENT DISCHARGE '!C218</f>
        <v>0</v>
      </c>
      <c r="D218" s="52"/>
      <c r="E218" s="53"/>
      <c r="F218" s="52"/>
      <c r="G218" s="53"/>
      <c r="H218" s="63"/>
      <c r="I218" s="116"/>
      <c r="J218" s="3"/>
      <c r="K218" s="71"/>
      <c r="L218" s="53"/>
      <c r="M218" s="2"/>
      <c r="N218" s="1"/>
      <c r="O218" s="218">
        <f t="shared" si="3"/>
        <v>0</v>
      </c>
      <c r="P218" s="218">
        <f>O218+SEPT!P218</f>
        <v>0</v>
      </c>
      <c r="Q218" s="60"/>
      <c r="R218" s="52"/>
      <c r="S218" s="66"/>
      <c r="T218" s="65"/>
      <c r="U218" s="68"/>
      <c r="V218" s="59"/>
      <c r="W218" s="6">
        <f>'CLIENT ENROLLMENT DISCHARGE '!M218</f>
        <v>0</v>
      </c>
      <c r="X218" s="76">
        <f>'CLIENT ENROLLMENT DISCHARGE '!L218</f>
        <v>0</v>
      </c>
      <c r="Y218" s="180" t="s">
        <v>0</v>
      </c>
    </row>
    <row r="219" spans="1:25" ht="50.1" customHeight="1" x14ac:dyDescent="0.25">
      <c r="A219" s="5">
        <v>205</v>
      </c>
      <c r="B219" s="10">
        <f>'CLIENT ENROLLMENT DISCHARGE '!B219</f>
        <v>0</v>
      </c>
      <c r="C219" s="4">
        <f>'CLIENT ENROLLMENT DISCHARGE '!C219</f>
        <v>0</v>
      </c>
      <c r="D219" s="51"/>
      <c r="E219" s="52"/>
      <c r="F219" s="51"/>
      <c r="G219" s="52"/>
      <c r="H219" s="62"/>
      <c r="I219" s="115"/>
      <c r="J219" s="9"/>
      <c r="K219" s="70"/>
      <c r="L219" s="52"/>
      <c r="M219" s="8"/>
      <c r="N219" s="7"/>
      <c r="O219" s="218">
        <f t="shared" si="3"/>
        <v>0</v>
      </c>
      <c r="P219" s="218">
        <f>O219+SEPT!P219</f>
        <v>0</v>
      </c>
      <c r="Q219" s="59"/>
      <c r="R219" s="51"/>
      <c r="S219" s="65"/>
      <c r="T219" s="64"/>
      <c r="U219" s="67"/>
      <c r="V219" s="74"/>
      <c r="W219" s="6">
        <f>'CLIENT ENROLLMENT DISCHARGE '!M219</f>
        <v>0</v>
      </c>
      <c r="X219" s="76">
        <f>'CLIENT ENROLLMENT DISCHARGE '!L219</f>
        <v>0</v>
      </c>
      <c r="Y219" s="180" t="s">
        <v>0</v>
      </c>
    </row>
    <row r="220" spans="1:25" ht="50.1" customHeight="1" x14ac:dyDescent="0.25">
      <c r="A220" s="5">
        <v>206</v>
      </c>
      <c r="B220" s="10">
        <f>'CLIENT ENROLLMENT DISCHARGE '!B220</f>
        <v>0</v>
      </c>
      <c r="C220" s="4">
        <f>'CLIENT ENROLLMENT DISCHARGE '!C220</f>
        <v>0</v>
      </c>
      <c r="D220" s="52"/>
      <c r="E220" s="53"/>
      <c r="F220" s="52"/>
      <c r="G220" s="53"/>
      <c r="H220" s="63"/>
      <c r="I220" s="116"/>
      <c r="J220" s="3"/>
      <c r="K220" s="71"/>
      <c r="L220" s="53"/>
      <c r="M220" s="2"/>
      <c r="N220" s="1"/>
      <c r="O220" s="218">
        <f t="shared" si="3"/>
        <v>0</v>
      </c>
      <c r="P220" s="218">
        <f>O220+SEPT!P220</f>
        <v>0</v>
      </c>
      <c r="Q220" s="60"/>
      <c r="R220" s="52"/>
      <c r="S220" s="66"/>
      <c r="T220" s="65"/>
      <c r="U220" s="68"/>
      <c r="V220" s="75"/>
      <c r="W220" s="6">
        <f>'CLIENT ENROLLMENT DISCHARGE '!M220</f>
        <v>0</v>
      </c>
      <c r="X220" s="76">
        <f>'CLIENT ENROLLMENT DISCHARGE '!L220</f>
        <v>0</v>
      </c>
      <c r="Y220" s="180" t="s">
        <v>0</v>
      </c>
    </row>
    <row r="221" spans="1:25" ht="50.1" customHeight="1" x14ac:dyDescent="0.25">
      <c r="A221" s="5">
        <v>207</v>
      </c>
      <c r="B221" s="10">
        <f>'CLIENT ENROLLMENT DISCHARGE '!B221</f>
        <v>0</v>
      </c>
      <c r="C221" s="4">
        <f>'CLIENT ENROLLMENT DISCHARGE '!C221</f>
        <v>0</v>
      </c>
      <c r="D221" s="51"/>
      <c r="E221" s="52"/>
      <c r="F221" s="51"/>
      <c r="G221" s="52"/>
      <c r="H221" s="62"/>
      <c r="I221" s="115"/>
      <c r="J221" s="9"/>
      <c r="K221" s="70"/>
      <c r="L221" s="52"/>
      <c r="M221" s="8"/>
      <c r="N221" s="7"/>
      <c r="O221" s="218">
        <f t="shared" si="3"/>
        <v>0</v>
      </c>
      <c r="P221" s="218">
        <f>O221+SEPT!P221</f>
        <v>0</v>
      </c>
      <c r="Q221" s="59"/>
      <c r="R221" s="51"/>
      <c r="S221" s="65"/>
      <c r="T221" s="64"/>
      <c r="U221" s="67"/>
      <c r="V221" s="74"/>
      <c r="W221" s="6">
        <f>'CLIENT ENROLLMENT DISCHARGE '!M221</f>
        <v>0</v>
      </c>
      <c r="X221" s="76">
        <f>'CLIENT ENROLLMENT DISCHARGE '!L221</f>
        <v>0</v>
      </c>
      <c r="Y221" s="180" t="s">
        <v>0</v>
      </c>
    </row>
    <row r="222" spans="1:25" ht="50.1" customHeight="1" x14ac:dyDescent="0.25">
      <c r="A222" s="5">
        <v>208</v>
      </c>
      <c r="B222" s="10">
        <f>'CLIENT ENROLLMENT DISCHARGE '!B222</f>
        <v>0</v>
      </c>
      <c r="C222" s="4">
        <f>'CLIENT ENROLLMENT DISCHARGE '!C222</f>
        <v>0</v>
      </c>
      <c r="D222" s="52"/>
      <c r="E222" s="53"/>
      <c r="F222" s="52"/>
      <c r="G222" s="53"/>
      <c r="H222" s="63"/>
      <c r="I222" s="116"/>
      <c r="J222" s="3"/>
      <c r="K222" s="71"/>
      <c r="L222" s="53"/>
      <c r="M222" s="2"/>
      <c r="N222" s="1"/>
      <c r="O222" s="218">
        <f t="shared" si="3"/>
        <v>0</v>
      </c>
      <c r="P222" s="218">
        <f>O222+SEPT!P222</f>
        <v>0</v>
      </c>
      <c r="Q222" s="60"/>
      <c r="R222" s="52"/>
      <c r="S222" s="66"/>
      <c r="T222" s="65"/>
      <c r="U222" s="68"/>
      <c r="V222" s="59"/>
      <c r="W222" s="6">
        <f>'CLIENT ENROLLMENT DISCHARGE '!M222</f>
        <v>0</v>
      </c>
      <c r="X222" s="76">
        <f>'CLIENT ENROLLMENT DISCHARGE '!L222</f>
        <v>0</v>
      </c>
      <c r="Y222" s="180" t="s">
        <v>0</v>
      </c>
    </row>
    <row r="223" spans="1:25" ht="50.1" customHeight="1" x14ac:dyDescent="0.25">
      <c r="A223" s="5">
        <v>209</v>
      </c>
      <c r="B223" s="10">
        <f>'CLIENT ENROLLMENT DISCHARGE '!B223</f>
        <v>0</v>
      </c>
      <c r="C223" s="4">
        <f>'CLIENT ENROLLMENT DISCHARGE '!C223</f>
        <v>0</v>
      </c>
      <c r="D223" s="51"/>
      <c r="E223" s="52"/>
      <c r="F223" s="51"/>
      <c r="G223" s="52"/>
      <c r="H223" s="62"/>
      <c r="I223" s="115"/>
      <c r="J223" s="9"/>
      <c r="K223" s="70"/>
      <c r="L223" s="52"/>
      <c r="M223" s="8"/>
      <c r="N223" s="7"/>
      <c r="O223" s="218">
        <f t="shared" si="3"/>
        <v>0</v>
      </c>
      <c r="P223" s="218">
        <f>O223+SEPT!P223</f>
        <v>0</v>
      </c>
      <c r="Q223" s="59"/>
      <c r="R223" s="51"/>
      <c r="S223" s="65"/>
      <c r="T223" s="64"/>
      <c r="U223" s="67"/>
      <c r="V223" s="74"/>
      <c r="W223" s="6">
        <f>'CLIENT ENROLLMENT DISCHARGE '!M223</f>
        <v>0</v>
      </c>
      <c r="X223" s="76">
        <f>'CLIENT ENROLLMENT DISCHARGE '!L223</f>
        <v>0</v>
      </c>
      <c r="Y223" s="180" t="s">
        <v>0</v>
      </c>
    </row>
    <row r="224" spans="1:25" ht="50.1" customHeight="1" x14ac:dyDescent="0.25">
      <c r="A224" s="5">
        <v>210</v>
      </c>
      <c r="B224" s="10">
        <f>'CLIENT ENROLLMENT DISCHARGE '!B224</f>
        <v>0</v>
      </c>
      <c r="C224" s="4">
        <f>'CLIENT ENROLLMENT DISCHARGE '!C224</f>
        <v>0</v>
      </c>
      <c r="D224" s="52"/>
      <c r="E224" s="53"/>
      <c r="F224" s="52"/>
      <c r="G224" s="53"/>
      <c r="H224" s="63"/>
      <c r="I224" s="116"/>
      <c r="J224" s="3"/>
      <c r="K224" s="71"/>
      <c r="L224" s="53"/>
      <c r="M224" s="2"/>
      <c r="N224" s="1"/>
      <c r="O224" s="218">
        <f t="shared" si="3"/>
        <v>0</v>
      </c>
      <c r="P224" s="218">
        <f>O224+SEPT!P224</f>
        <v>0</v>
      </c>
      <c r="Q224" s="60"/>
      <c r="R224" s="52"/>
      <c r="S224" s="66"/>
      <c r="T224" s="65"/>
      <c r="U224" s="68"/>
      <c r="V224" s="59"/>
      <c r="W224" s="6">
        <f>'CLIENT ENROLLMENT DISCHARGE '!M224</f>
        <v>0</v>
      </c>
      <c r="X224" s="76">
        <f>'CLIENT ENROLLMENT DISCHARGE '!L224</f>
        <v>0</v>
      </c>
      <c r="Y224" s="180" t="s">
        <v>0</v>
      </c>
    </row>
    <row r="225" spans="1:25" ht="50.1" customHeight="1" x14ac:dyDescent="0.25">
      <c r="A225" s="5">
        <v>211</v>
      </c>
      <c r="B225" s="10">
        <f>'CLIENT ENROLLMENT DISCHARGE '!B225</f>
        <v>0</v>
      </c>
      <c r="C225" s="4">
        <f>'CLIENT ENROLLMENT DISCHARGE '!C225</f>
        <v>0</v>
      </c>
      <c r="D225" s="51"/>
      <c r="E225" s="52"/>
      <c r="F225" s="51"/>
      <c r="G225" s="52"/>
      <c r="H225" s="62"/>
      <c r="I225" s="115"/>
      <c r="J225" s="9"/>
      <c r="K225" s="70"/>
      <c r="L225" s="52"/>
      <c r="M225" s="8"/>
      <c r="N225" s="7"/>
      <c r="O225" s="218">
        <f t="shared" si="3"/>
        <v>0</v>
      </c>
      <c r="P225" s="218">
        <f>O225+SEPT!P225</f>
        <v>0</v>
      </c>
      <c r="Q225" s="59"/>
      <c r="R225" s="51"/>
      <c r="S225" s="65"/>
      <c r="T225" s="64"/>
      <c r="U225" s="67"/>
      <c r="V225" s="74"/>
      <c r="W225" s="6">
        <f>'CLIENT ENROLLMENT DISCHARGE '!M225</f>
        <v>0</v>
      </c>
      <c r="X225" s="76">
        <f>'CLIENT ENROLLMENT DISCHARGE '!L225</f>
        <v>0</v>
      </c>
      <c r="Y225" s="180" t="s">
        <v>0</v>
      </c>
    </row>
    <row r="226" spans="1:25" ht="50.1" customHeight="1" x14ac:dyDescent="0.25">
      <c r="A226" s="5">
        <v>212</v>
      </c>
      <c r="B226" s="10">
        <f>'CLIENT ENROLLMENT DISCHARGE '!B226</f>
        <v>0</v>
      </c>
      <c r="C226" s="4">
        <f>'CLIENT ENROLLMENT DISCHARGE '!C226</f>
        <v>0</v>
      </c>
      <c r="D226" s="52"/>
      <c r="E226" s="53"/>
      <c r="F226" s="52"/>
      <c r="G226" s="53"/>
      <c r="H226" s="63"/>
      <c r="I226" s="116"/>
      <c r="J226" s="3"/>
      <c r="K226" s="71"/>
      <c r="L226" s="53"/>
      <c r="M226" s="2"/>
      <c r="N226" s="1"/>
      <c r="O226" s="218">
        <f t="shared" si="3"/>
        <v>0</v>
      </c>
      <c r="P226" s="218">
        <f>O226+SEPT!P226</f>
        <v>0</v>
      </c>
      <c r="Q226" s="60"/>
      <c r="R226" s="52"/>
      <c r="S226" s="66"/>
      <c r="T226" s="65"/>
      <c r="U226" s="68"/>
      <c r="V226" s="59"/>
      <c r="W226" s="6">
        <f>'CLIENT ENROLLMENT DISCHARGE '!M226</f>
        <v>0</v>
      </c>
      <c r="X226" s="76">
        <f>'CLIENT ENROLLMENT DISCHARGE '!L226</f>
        <v>0</v>
      </c>
      <c r="Y226" s="180" t="s">
        <v>0</v>
      </c>
    </row>
    <row r="227" spans="1:25" ht="50.1" customHeight="1" x14ac:dyDescent="0.25">
      <c r="A227" s="5">
        <v>213</v>
      </c>
      <c r="B227" s="10">
        <f>'CLIENT ENROLLMENT DISCHARGE '!B227</f>
        <v>0</v>
      </c>
      <c r="C227" s="4">
        <f>'CLIENT ENROLLMENT DISCHARGE '!C227</f>
        <v>0</v>
      </c>
      <c r="D227" s="51"/>
      <c r="E227" s="52"/>
      <c r="F227" s="51"/>
      <c r="G227" s="52"/>
      <c r="H227" s="62"/>
      <c r="I227" s="115"/>
      <c r="J227" s="9"/>
      <c r="K227" s="70"/>
      <c r="L227" s="52"/>
      <c r="M227" s="8"/>
      <c r="N227" s="7"/>
      <c r="O227" s="218">
        <f t="shared" si="3"/>
        <v>0</v>
      </c>
      <c r="P227" s="218">
        <f>O227+SEPT!P227</f>
        <v>0</v>
      </c>
      <c r="Q227" s="59"/>
      <c r="R227" s="51"/>
      <c r="S227" s="65"/>
      <c r="T227" s="64"/>
      <c r="U227" s="67"/>
      <c r="V227" s="74"/>
      <c r="W227" s="6">
        <f>'CLIENT ENROLLMENT DISCHARGE '!M227</f>
        <v>0</v>
      </c>
      <c r="X227" s="76">
        <f>'CLIENT ENROLLMENT DISCHARGE '!L227</f>
        <v>0</v>
      </c>
      <c r="Y227" s="180" t="s">
        <v>0</v>
      </c>
    </row>
    <row r="228" spans="1:25" ht="50.1" customHeight="1" x14ac:dyDescent="0.25">
      <c r="A228" s="5">
        <v>214</v>
      </c>
      <c r="B228" s="10">
        <f>'CLIENT ENROLLMENT DISCHARGE '!B228</f>
        <v>0</v>
      </c>
      <c r="C228" s="4">
        <f>'CLIENT ENROLLMENT DISCHARGE '!C228</f>
        <v>0</v>
      </c>
      <c r="D228" s="52"/>
      <c r="E228" s="53"/>
      <c r="F228" s="52"/>
      <c r="G228" s="53"/>
      <c r="H228" s="63"/>
      <c r="I228" s="116"/>
      <c r="J228" s="3"/>
      <c r="K228" s="71"/>
      <c r="L228" s="53"/>
      <c r="M228" s="2"/>
      <c r="N228" s="1"/>
      <c r="O228" s="218">
        <f t="shared" si="3"/>
        <v>0</v>
      </c>
      <c r="P228" s="218">
        <f>O228+SEPT!P228</f>
        <v>0</v>
      </c>
      <c r="Q228" s="60"/>
      <c r="R228" s="52"/>
      <c r="S228" s="66"/>
      <c r="T228" s="65"/>
      <c r="U228" s="68"/>
      <c r="V228" s="59"/>
      <c r="W228" s="6">
        <f>'CLIENT ENROLLMENT DISCHARGE '!M228</f>
        <v>0</v>
      </c>
      <c r="X228" s="76">
        <f>'CLIENT ENROLLMENT DISCHARGE '!L228</f>
        <v>0</v>
      </c>
      <c r="Y228" s="180" t="s">
        <v>0</v>
      </c>
    </row>
    <row r="229" spans="1:25" ht="50.1" customHeight="1" x14ac:dyDescent="0.25">
      <c r="A229" s="5">
        <v>215</v>
      </c>
      <c r="B229" s="10">
        <f>'CLIENT ENROLLMENT DISCHARGE '!B229</f>
        <v>0</v>
      </c>
      <c r="C229" s="4">
        <f>'CLIENT ENROLLMENT DISCHARGE '!C229</f>
        <v>0</v>
      </c>
      <c r="D229" s="51"/>
      <c r="E229" s="52"/>
      <c r="F229" s="51"/>
      <c r="G229" s="52"/>
      <c r="H229" s="62"/>
      <c r="I229" s="115"/>
      <c r="J229" s="9"/>
      <c r="K229" s="70"/>
      <c r="L229" s="52"/>
      <c r="M229" s="8"/>
      <c r="N229" s="7"/>
      <c r="O229" s="218">
        <f t="shared" si="3"/>
        <v>0</v>
      </c>
      <c r="P229" s="218">
        <f>O229+SEPT!P229</f>
        <v>0</v>
      </c>
      <c r="Q229" s="59"/>
      <c r="R229" s="51"/>
      <c r="S229" s="65"/>
      <c r="T229" s="64"/>
      <c r="U229" s="67"/>
      <c r="V229" s="74"/>
      <c r="W229" s="6">
        <f>'CLIENT ENROLLMENT DISCHARGE '!M229</f>
        <v>0</v>
      </c>
      <c r="X229" s="76">
        <f>'CLIENT ENROLLMENT DISCHARGE '!L229</f>
        <v>0</v>
      </c>
      <c r="Y229" s="180" t="s">
        <v>0</v>
      </c>
    </row>
    <row r="230" spans="1:25" ht="50.1" customHeight="1" x14ac:dyDescent="0.25">
      <c r="A230" s="5">
        <v>216</v>
      </c>
      <c r="B230" s="10">
        <f>'CLIENT ENROLLMENT DISCHARGE '!B230</f>
        <v>0</v>
      </c>
      <c r="C230" s="4">
        <f>'CLIENT ENROLLMENT DISCHARGE '!C230</f>
        <v>0</v>
      </c>
      <c r="D230" s="52"/>
      <c r="E230" s="53"/>
      <c r="F230" s="52"/>
      <c r="G230" s="53"/>
      <c r="H230" s="63"/>
      <c r="I230" s="116"/>
      <c r="J230" s="3"/>
      <c r="K230" s="71"/>
      <c r="L230" s="53"/>
      <c r="M230" s="2"/>
      <c r="N230" s="1"/>
      <c r="O230" s="218">
        <f t="shared" si="3"/>
        <v>0</v>
      </c>
      <c r="P230" s="218">
        <f>O230+SEPT!P230</f>
        <v>0</v>
      </c>
      <c r="Q230" s="60"/>
      <c r="R230" s="52"/>
      <c r="S230" s="66"/>
      <c r="T230" s="65"/>
      <c r="U230" s="68"/>
      <c r="V230" s="75"/>
      <c r="W230" s="6">
        <f>'CLIENT ENROLLMENT DISCHARGE '!M230</f>
        <v>0</v>
      </c>
      <c r="X230" s="76">
        <f>'CLIENT ENROLLMENT DISCHARGE '!L230</f>
        <v>0</v>
      </c>
      <c r="Y230" s="180" t="s">
        <v>0</v>
      </c>
    </row>
    <row r="231" spans="1:25" ht="50.1" customHeight="1" x14ac:dyDescent="0.25">
      <c r="A231" s="5">
        <v>217</v>
      </c>
      <c r="B231" s="10">
        <f>'CLIENT ENROLLMENT DISCHARGE '!B231</f>
        <v>0</v>
      </c>
      <c r="C231" s="4">
        <f>'CLIENT ENROLLMENT DISCHARGE '!C231</f>
        <v>0</v>
      </c>
      <c r="D231" s="51"/>
      <c r="E231" s="52"/>
      <c r="F231" s="51"/>
      <c r="G231" s="52"/>
      <c r="H231" s="62"/>
      <c r="I231" s="115"/>
      <c r="J231" s="9"/>
      <c r="K231" s="70"/>
      <c r="L231" s="52"/>
      <c r="M231" s="8"/>
      <c r="N231" s="7"/>
      <c r="O231" s="218">
        <f t="shared" si="3"/>
        <v>0</v>
      </c>
      <c r="P231" s="218">
        <f>O231+SEPT!P231</f>
        <v>0</v>
      </c>
      <c r="Q231" s="59"/>
      <c r="R231" s="51"/>
      <c r="S231" s="65"/>
      <c r="T231" s="64"/>
      <c r="U231" s="67"/>
      <c r="V231" s="74"/>
      <c r="W231" s="6">
        <f>'CLIENT ENROLLMENT DISCHARGE '!M231</f>
        <v>0</v>
      </c>
      <c r="X231" s="76">
        <f>'CLIENT ENROLLMENT DISCHARGE '!L231</f>
        <v>0</v>
      </c>
      <c r="Y231" s="180" t="s">
        <v>0</v>
      </c>
    </row>
    <row r="232" spans="1:25" ht="50.1" customHeight="1" x14ac:dyDescent="0.25">
      <c r="A232" s="5">
        <v>218</v>
      </c>
      <c r="B232" s="10">
        <f>'CLIENT ENROLLMENT DISCHARGE '!B232</f>
        <v>0</v>
      </c>
      <c r="C232" s="4">
        <f>'CLIENT ENROLLMENT DISCHARGE '!C232</f>
        <v>0</v>
      </c>
      <c r="D232" s="52"/>
      <c r="E232" s="53"/>
      <c r="F232" s="52"/>
      <c r="G232" s="53"/>
      <c r="H232" s="63"/>
      <c r="I232" s="116"/>
      <c r="J232" s="3"/>
      <c r="K232" s="71"/>
      <c r="L232" s="53"/>
      <c r="M232" s="2"/>
      <c r="N232" s="1"/>
      <c r="O232" s="218">
        <f t="shared" si="3"/>
        <v>0</v>
      </c>
      <c r="P232" s="218">
        <f>O232+SEPT!P232</f>
        <v>0</v>
      </c>
      <c r="Q232" s="60"/>
      <c r="R232" s="52"/>
      <c r="S232" s="66"/>
      <c r="T232" s="65"/>
      <c r="U232" s="68"/>
      <c r="V232" s="59"/>
      <c r="W232" s="6">
        <f>'CLIENT ENROLLMENT DISCHARGE '!M232</f>
        <v>0</v>
      </c>
      <c r="X232" s="76">
        <f>'CLIENT ENROLLMENT DISCHARGE '!L232</f>
        <v>0</v>
      </c>
      <c r="Y232" s="180" t="s">
        <v>0</v>
      </c>
    </row>
    <row r="233" spans="1:25" ht="50.1" customHeight="1" x14ac:dyDescent="0.25">
      <c r="A233" s="5">
        <v>219</v>
      </c>
      <c r="B233" s="10">
        <f>'CLIENT ENROLLMENT DISCHARGE '!B233</f>
        <v>0</v>
      </c>
      <c r="C233" s="4">
        <f>'CLIENT ENROLLMENT DISCHARGE '!C233</f>
        <v>0</v>
      </c>
      <c r="D233" s="51"/>
      <c r="E233" s="52"/>
      <c r="F233" s="51"/>
      <c r="G233" s="52"/>
      <c r="H233" s="62"/>
      <c r="I233" s="115"/>
      <c r="J233" s="9"/>
      <c r="K233" s="70"/>
      <c r="L233" s="52"/>
      <c r="M233" s="8"/>
      <c r="N233" s="7"/>
      <c r="O233" s="218">
        <f t="shared" si="3"/>
        <v>0</v>
      </c>
      <c r="P233" s="218">
        <f>O233+SEPT!P233</f>
        <v>0</v>
      </c>
      <c r="Q233" s="59"/>
      <c r="R233" s="51"/>
      <c r="S233" s="65"/>
      <c r="T233" s="64"/>
      <c r="U233" s="67"/>
      <c r="V233" s="74"/>
      <c r="W233" s="6">
        <f>'CLIENT ENROLLMENT DISCHARGE '!M233</f>
        <v>0</v>
      </c>
      <c r="X233" s="76">
        <f>'CLIENT ENROLLMENT DISCHARGE '!L233</f>
        <v>0</v>
      </c>
      <c r="Y233" s="180" t="s">
        <v>0</v>
      </c>
    </row>
    <row r="234" spans="1:25" ht="50.1" customHeight="1" x14ac:dyDescent="0.25">
      <c r="A234" s="5">
        <v>220</v>
      </c>
      <c r="B234" s="10">
        <f>'CLIENT ENROLLMENT DISCHARGE '!B234</f>
        <v>0</v>
      </c>
      <c r="C234" s="4">
        <f>'CLIENT ENROLLMENT DISCHARGE '!C234</f>
        <v>0</v>
      </c>
      <c r="D234" s="52"/>
      <c r="E234" s="53"/>
      <c r="F234" s="52"/>
      <c r="G234" s="53"/>
      <c r="H234" s="63"/>
      <c r="I234" s="116"/>
      <c r="J234" s="3"/>
      <c r="K234" s="71"/>
      <c r="L234" s="53"/>
      <c r="M234" s="2"/>
      <c r="N234" s="1"/>
      <c r="O234" s="218">
        <f t="shared" si="3"/>
        <v>0</v>
      </c>
      <c r="P234" s="218">
        <f>O234+SEPT!P234</f>
        <v>0</v>
      </c>
      <c r="Q234" s="60"/>
      <c r="R234" s="52"/>
      <c r="S234" s="66"/>
      <c r="T234" s="65"/>
      <c r="U234" s="68"/>
      <c r="V234" s="59"/>
      <c r="W234" s="6">
        <f>'CLIENT ENROLLMENT DISCHARGE '!M234</f>
        <v>0</v>
      </c>
      <c r="X234" s="76">
        <f>'CLIENT ENROLLMENT DISCHARGE '!L234</f>
        <v>0</v>
      </c>
      <c r="Y234" s="180" t="s">
        <v>0</v>
      </c>
    </row>
    <row r="235" spans="1:25" ht="50.1" customHeight="1" x14ac:dyDescent="0.25">
      <c r="A235" s="5">
        <v>221</v>
      </c>
      <c r="B235" s="10">
        <f>'CLIENT ENROLLMENT DISCHARGE '!B235</f>
        <v>0</v>
      </c>
      <c r="C235" s="4">
        <f>'CLIENT ENROLLMENT DISCHARGE '!C235</f>
        <v>0</v>
      </c>
      <c r="D235" s="51"/>
      <c r="E235" s="52"/>
      <c r="F235" s="51"/>
      <c r="G235" s="52"/>
      <c r="H235" s="62"/>
      <c r="I235" s="115"/>
      <c r="J235" s="9"/>
      <c r="K235" s="70"/>
      <c r="L235" s="52"/>
      <c r="M235" s="8"/>
      <c r="N235" s="7"/>
      <c r="O235" s="218">
        <f t="shared" si="3"/>
        <v>0</v>
      </c>
      <c r="P235" s="218">
        <f>O235+SEPT!P235</f>
        <v>0</v>
      </c>
      <c r="Q235" s="59"/>
      <c r="R235" s="51"/>
      <c r="S235" s="65"/>
      <c r="T235" s="64"/>
      <c r="U235" s="67"/>
      <c r="V235" s="74"/>
      <c r="W235" s="6">
        <f>'CLIENT ENROLLMENT DISCHARGE '!M235</f>
        <v>0</v>
      </c>
      <c r="X235" s="76">
        <f>'CLIENT ENROLLMENT DISCHARGE '!L235</f>
        <v>0</v>
      </c>
      <c r="Y235" s="180" t="s">
        <v>0</v>
      </c>
    </row>
    <row r="236" spans="1:25" ht="50.1" customHeight="1" x14ac:dyDescent="0.25">
      <c r="A236" s="5">
        <v>222</v>
      </c>
      <c r="B236" s="10">
        <f>'CLIENT ENROLLMENT DISCHARGE '!B236</f>
        <v>0</v>
      </c>
      <c r="C236" s="4">
        <f>'CLIENT ENROLLMENT DISCHARGE '!C236</f>
        <v>0</v>
      </c>
      <c r="D236" s="52"/>
      <c r="E236" s="53"/>
      <c r="F236" s="52"/>
      <c r="G236" s="53"/>
      <c r="H236" s="63"/>
      <c r="I236" s="116"/>
      <c r="J236" s="3"/>
      <c r="K236" s="71"/>
      <c r="L236" s="53"/>
      <c r="M236" s="2"/>
      <c r="N236" s="1"/>
      <c r="O236" s="218">
        <f t="shared" si="3"/>
        <v>0</v>
      </c>
      <c r="P236" s="218">
        <f>O236+SEPT!P236</f>
        <v>0</v>
      </c>
      <c r="Q236" s="60"/>
      <c r="R236" s="52"/>
      <c r="S236" s="66"/>
      <c r="T236" s="65"/>
      <c r="U236" s="68"/>
      <c r="V236" s="59"/>
      <c r="W236" s="6">
        <f>'CLIENT ENROLLMENT DISCHARGE '!M236</f>
        <v>0</v>
      </c>
      <c r="X236" s="76">
        <f>'CLIENT ENROLLMENT DISCHARGE '!L236</f>
        <v>0</v>
      </c>
      <c r="Y236" s="180" t="s">
        <v>0</v>
      </c>
    </row>
    <row r="237" spans="1:25" ht="50.1" customHeight="1" x14ac:dyDescent="0.25">
      <c r="A237" s="5">
        <v>223</v>
      </c>
      <c r="B237" s="10">
        <f>'CLIENT ENROLLMENT DISCHARGE '!B237</f>
        <v>0</v>
      </c>
      <c r="C237" s="4">
        <f>'CLIENT ENROLLMENT DISCHARGE '!C237</f>
        <v>0</v>
      </c>
      <c r="D237" s="51"/>
      <c r="E237" s="52"/>
      <c r="F237" s="51"/>
      <c r="G237" s="52"/>
      <c r="H237" s="62"/>
      <c r="I237" s="115"/>
      <c r="J237" s="9"/>
      <c r="K237" s="70"/>
      <c r="L237" s="52"/>
      <c r="M237" s="8"/>
      <c r="N237" s="7"/>
      <c r="O237" s="218">
        <f t="shared" si="3"/>
        <v>0</v>
      </c>
      <c r="P237" s="218">
        <f>O237+SEPT!P237</f>
        <v>0</v>
      </c>
      <c r="Q237" s="59"/>
      <c r="R237" s="51"/>
      <c r="S237" s="65"/>
      <c r="T237" s="64"/>
      <c r="U237" s="67"/>
      <c r="V237" s="74"/>
      <c r="W237" s="6">
        <f>'CLIENT ENROLLMENT DISCHARGE '!M237</f>
        <v>0</v>
      </c>
      <c r="X237" s="76">
        <f>'CLIENT ENROLLMENT DISCHARGE '!L237</f>
        <v>0</v>
      </c>
      <c r="Y237" s="180" t="s">
        <v>0</v>
      </c>
    </row>
    <row r="238" spans="1:25" ht="50.1" customHeight="1" x14ac:dyDescent="0.25">
      <c r="A238" s="5">
        <v>224</v>
      </c>
      <c r="B238" s="10">
        <f>'CLIENT ENROLLMENT DISCHARGE '!B238</f>
        <v>0</v>
      </c>
      <c r="C238" s="4">
        <f>'CLIENT ENROLLMENT DISCHARGE '!C238</f>
        <v>0</v>
      </c>
      <c r="D238" s="52"/>
      <c r="E238" s="53"/>
      <c r="F238" s="52"/>
      <c r="G238" s="53"/>
      <c r="H238" s="63"/>
      <c r="I238" s="116"/>
      <c r="J238" s="3"/>
      <c r="K238" s="71"/>
      <c r="L238" s="53"/>
      <c r="M238" s="2"/>
      <c r="N238" s="1"/>
      <c r="O238" s="218">
        <f t="shared" si="3"/>
        <v>0</v>
      </c>
      <c r="P238" s="218">
        <f>O238+SEPT!P238</f>
        <v>0</v>
      </c>
      <c r="Q238" s="60"/>
      <c r="R238" s="52"/>
      <c r="S238" s="66"/>
      <c r="T238" s="65"/>
      <c r="U238" s="68"/>
      <c r="V238" s="59"/>
      <c r="W238" s="6">
        <f>'CLIENT ENROLLMENT DISCHARGE '!M238</f>
        <v>0</v>
      </c>
      <c r="X238" s="76">
        <f>'CLIENT ENROLLMENT DISCHARGE '!L238</f>
        <v>0</v>
      </c>
      <c r="Y238" s="180" t="s">
        <v>0</v>
      </c>
    </row>
    <row r="239" spans="1:25" ht="50.1" customHeight="1" x14ac:dyDescent="0.25">
      <c r="A239" s="5">
        <v>225</v>
      </c>
      <c r="B239" s="10">
        <f>'CLIENT ENROLLMENT DISCHARGE '!B239</f>
        <v>0</v>
      </c>
      <c r="C239" s="4">
        <f>'CLIENT ENROLLMENT DISCHARGE '!C239</f>
        <v>0</v>
      </c>
      <c r="D239" s="51"/>
      <c r="E239" s="52"/>
      <c r="F239" s="51"/>
      <c r="G239" s="52"/>
      <c r="H239" s="62"/>
      <c r="I239" s="115"/>
      <c r="J239" s="9"/>
      <c r="K239" s="70"/>
      <c r="L239" s="52"/>
      <c r="M239" s="8"/>
      <c r="N239" s="7"/>
      <c r="O239" s="218">
        <f t="shared" si="3"/>
        <v>0</v>
      </c>
      <c r="P239" s="218">
        <f>O239+SEPT!P239</f>
        <v>0</v>
      </c>
      <c r="Q239" s="59"/>
      <c r="R239" s="51"/>
      <c r="S239" s="65"/>
      <c r="T239" s="64"/>
      <c r="U239" s="67"/>
      <c r="V239" s="74"/>
      <c r="W239" s="6">
        <f>'CLIENT ENROLLMENT DISCHARGE '!M239</f>
        <v>0</v>
      </c>
      <c r="X239" s="76">
        <f>'CLIENT ENROLLMENT DISCHARGE '!L239</f>
        <v>0</v>
      </c>
      <c r="Y239" s="180" t="s">
        <v>0</v>
      </c>
    </row>
    <row r="240" spans="1:25" ht="50.1" customHeight="1" x14ac:dyDescent="0.25">
      <c r="A240" s="5">
        <v>226</v>
      </c>
      <c r="B240" s="10">
        <f>'CLIENT ENROLLMENT DISCHARGE '!B240</f>
        <v>0</v>
      </c>
      <c r="C240" s="4">
        <f>'CLIENT ENROLLMENT DISCHARGE '!C240</f>
        <v>0</v>
      </c>
      <c r="D240" s="52"/>
      <c r="E240" s="53"/>
      <c r="F240" s="52"/>
      <c r="G240" s="53"/>
      <c r="H240" s="63"/>
      <c r="I240" s="116"/>
      <c r="J240" s="3"/>
      <c r="K240" s="71"/>
      <c r="L240" s="53"/>
      <c r="M240" s="2"/>
      <c r="N240" s="1"/>
      <c r="O240" s="218">
        <f t="shared" si="3"/>
        <v>0</v>
      </c>
      <c r="P240" s="218">
        <f>O240+SEPT!P240</f>
        <v>0</v>
      </c>
      <c r="Q240" s="60"/>
      <c r="R240" s="52"/>
      <c r="S240" s="66"/>
      <c r="T240" s="65"/>
      <c r="U240" s="68"/>
      <c r="V240" s="75"/>
      <c r="W240" s="6">
        <f>'CLIENT ENROLLMENT DISCHARGE '!M240</f>
        <v>0</v>
      </c>
      <c r="X240" s="76">
        <f>'CLIENT ENROLLMENT DISCHARGE '!L240</f>
        <v>0</v>
      </c>
      <c r="Y240" s="180" t="s">
        <v>0</v>
      </c>
    </row>
    <row r="241" spans="1:25" ht="50.1" customHeight="1" x14ac:dyDescent="0.25">
      <c r="A241" s="5">
        <v>227</v>
      </c>
      <c r="B241" s="10">
        <f>'CLIENT ENROLLMENT DISCHARGE '!B241</f>
        <v>0</v>
      </c>
      <c r="C241" s="4">
        <f>'CLIENT ENROLLMENT DISCHARGE '!C241</f>
        <v>0</v>
      </c>
      <c r="D241" s="51"/>
      <c r="E241" s="52"/>
      <c r="F241" s="51"/>
      <c r="G241" s="52"/>
      <c r="H241" s="62"/>
      <c r="I241" s="115"/>
      <c r="J241" s="9"/>
      <c r="K241" s="70"/>
      <c r="L241" s="52"/>
      <c r="M241" s="8"/>
      <c r="N241" s="7"/>
      <c r="O241" s="218">
        <f t="shared" si="3"/>
        <v>0</v>
      </c>
      <c r="P241" s="218">
        <f>O241+SEPT!P241</f>
        <v>0</v>
      </c>
      <c r="Q241" s="59"/>
      <c r="R241" s="51"/>
      <c r="S241" s="65"/>
      <c r="T241" s="64"/>
      <c r="U241" s="67"/>
      <c r="V241" s="74"/>
      <c r="W241" s="6">
        <f>'CLIENT ENROLLMENT DISCHARGE '!M241</f>
        <v>0</v>
      </c>
      <c r="X241" s="76">
        <f>'CLIENT ENROLLMENT DISCHARGE '!L241</f>
        <v>0</v>
      </c>
      <c r="Y241" s="180" t="s">
        <v>0</v>
      </c>
    </row>
    <row r="242" spans="1:25" ht="50.1" customHeight="1" x14ac:dyDescent="0.25">
      <c r="A242" s="5">
        <v>228</v>
      </c>
      <c r="B242" s="10">
        <f>'CLIENT ENROLLMENT DISCHARGE '!B242</f>
        <v>0</v>
      </c>
      <c r="C242" s="4">
        <f>'CLIENT ENROLLMENT DISCHARGE '!C242</f>
        <v>0</v>
      </c>
      <c r="D242" s="52"/>
      <c r="E242" s="53"/>
      <c r="F242" s="52"/>
      <c r="G242" s="53"/>
      <c r="H242" s="63"/>
      <c r="I242" s="116"/>
      <c r="J242" s="3"/>
      <c r="K242" s="71"/>
      <c r="L242" s="53"/>
      <c r="M242" s="2"/>
      <c r="N242" s="1"/>
      <c r="O242" s="218">
        <f t="shared" si="3"/>
        <v>0</v>
      </c>
      <c r="P242" s="218">
        <f>O242+SEPT!P242</f>
        <v>0</v>
      </c>
      <c r="Q242" s="60"/>
      <c r="R242" s="52"/>
      <c r="S242" s="66"/>
      <c r="T242" s="65"/>
      <c r="U242" s="68"/>
      <c r="V242" s="59"/>
      <c r="W242" s="6">
        <f>'CLIENT ENROLLMENT DISCHARGE '!M242</f>
        <v>0</v>
      </c>
      <c r="X242" s="76">
        <f>'CLIENT ENROLLMENT DISCHARGE '!L242</f>
        <v>0</v>
      </c>
      <c r="Y242" s="180" t="s">
        <v>0</v>
      </c>
    </row>
    <row r="243" spans="1:25" ht="50.1" customHeight="1" x14ac:dyDescent="0.25">
      <c r="A243" s="5">
        <v>229</v>
      </c>
      <c r="B243" s="10">
        <f>'CLIENT ENROLLMENT DISCHARGE '!B243</f>
        <v>0</v>
      </c>
      <c r="C243" s="4">
        <f>'CLIENT ENROLLMENT DISCHARGE '!C243</f>
        <v>0</v>
      </c>
      <c r="D243" s="51"/>
      <c r="E243" s="52"/>
      <c r="F243" s="51"/>
      <c r="G243" s="52"/>
      <c r="H243" s="62"/>
      <c r="I243" s="115"/>
      <c r="J243" s="9"/>
      <c r="K243" s="70"/>
      <c r="L243" s="52"/>
      <c r="M243" s="8"/>
      <c r="N243" s="7"/>
      <c r="O243" s="218">
        <f t="shared" si="3"/>
        <v>0</v>
      </c>
      <c r="P243" s="218">
        <f>O243+SEPT!P243</f>
        <v>0</v>
      </c>
      <c r="Q243" s="59"/>
      <c r="R243" s="51"/>
      <c r="S243" s="65"/>
      <c r="T243" s="64"/>
      <c r="U243" s="67"/>
      <c r="V243" s="74"/>
      <c r="W243" s="6">
        <f>'CLIENT ENROLLMENT DISCHARGE '!M243</f>
        <v>0</v>
      </c>
      <c r="X243" s="76">
        <f>'CLIENT ENROLLMENT DISCHARGE '!L243</f>
        <v>0</v>
      </c>
      <c r="Y243" s="180" t="s">
        <v>0</v>
      </c>
    </row>
    <row r="244" spans="1:25" ht="50.1" customHeight="1" x14ac:dyDescent="0.25">
      <c r="A244" s="5">
        <v>230</v>
      </c>
      <c r="B244" s="10">
        <f>'CLIENT ENROLLMENT DISCHARGE '!B244</f>
        <v>0</v>
      </c>
      <c r="C244" s="4">
        <f>'CLIENT ENROLLMENT DISCHARGE '!C244</f>
        <v>0</v>
      </c>
      <c r="D244" s="52"/>
      <c r="E244" s="53"/>
      <c r="F244" s="52"/>
      <c r="G244" s="53"/>
      <c r="H244" s="63"/>
      <c r="I244" s="116"/>
      <c r="J244" s="3"/>
      <c r="K244" s="71"/>
      <c r="L244" s="53"/>
      <c r="M244" s="2"/>
      <c r="N244" s="1"/>
      <c r="O244" s="218">
        <f t="shared" si="3"/>
        <v>0</v>
      </c>
      <c r="P244" s="218">
        <f>O244+SEPT!P244</f>
        <v>0</v>
      </c>
      <c r="Q244" s="60"/>
      <c r="R244" s="52"/>
      <c r="S244" s="66"/>
      <c r="T244" s="65"/>
      <c r="U244" s="68"/>
      <c r="V244" s="59"/>
      <c r="W244" s="6">
        <f>'CLIENT ENROLLMENT DISCHARGE '!M244</f>
        <v>0</v>
      </c>
      <c r="X244" s="76">
        <f>'CLIENT ENROLLMENT DISCHARGE '!L244</f>
        <v>0</v>
      </c>
      <c r="Y244" s="180" t="s">
        <v>0</v>
      </c>
    </row>
    <row r="245" spans="1:25" ht="50.1" customHeight="1" x14ac:dyDescent="0.25">
      <c r="A245" s="5">
        <v>231</v>
      </c>
      <c r="B245" s="10">
        <f>'CLIENT ENROLLMENT DISCHARGE '!B245</f>
        <v>0</v>
      </c>
      <c r="C245" s="4">
        <f>'CLIENT ENROLLMENT DISCHARGE '!C245</f>
        <v>0</v>
      </c>
      <c r="D245" s="51"/>
      <c r="E245" s="52"/>
      <c r="F245" s="51"/>
      <c r="G245" s="52"/>
      <c r="H245" s="62"/>
      <c r="I245" s="115"/>
      <c r="J245" s="9"/>
      <c r="K245" s="70"/>
      <c r="L245" s="52"/>
      <c r="M245" s="8"/>
      <c r="N245" s="7"/>
      <c r="O245" s="218">
        <f t="shared" si="3"/>
        <v>0</v>
      </c>
      <c r="P245" s="218">
        <f>O245+SEPT!P245</f>
        <v>0</v>
      </c>
      <c r="Q245" s="59"/>
      <c r="R245" s="51"/>
      <c r="S245" s="65"/>
      <c r="T245" s="64"/>
      <c r="U245" s="67"/>
      <c r="V245" s="74"/>
      <c r="W245" s="6">
        <f>'CLIENT ENROLLMENT DISCHARGE '!M245</f>
        <v>0</v>
      </c>
      <c r="X245" s="76">
        <f>'CLIENT ENROLLMENT DISCHARGE '!L245</f>
        <v>0</v>
      </c>
      <c r="Y245" s="180" t="s">
        <v>0</v>
      </c>
    </row>
    <row r="246" spans="1:25" ht="50.1" customHeight="1" x14ac:dyDescent="0.25">
      <c r="A246" s="5">
        <v>232</v>
      </c>
      <c r="B246" s="10">
        <f>'CLIENT ENROLLMENT DISCHARGE '!B246</f>
        <v>0</v>
      </c>
      <c r="C246" s="4">
        <f>'CLIENT ENROLLMENT DISCHARGE '!C246</f>
        <v>0</v>
      </c>
      <c r="D246" s="52"/>
      <c r="E246" s="53"/>
      <c r="F246" s="52"/>
      <c r="G246" s="53"/>
      <c r="H246" s="63"/>
      <c r="I246" s="116"/>
      <c r="J246" s="3"/>
      <c r="K246" s="71"/>
      <c r="L246" s="53"/>
      <c r="M246" s="2"/>
      <c r="N246" s="1"/>
      <c r="O246" s="218">
        <f t="shared" si="3"/>
        <v>0</v>
      </c>
      <c r="P246" s="218">
        <f>O246+SEPT!P246</f>
        <v>0</v>
      </c>
      <c r="Q246" s="60"/>
      <c r="R246" s="52"/>
      <c r="S246" s="66"/>
      <c r="T246" s="65"/>
      <c r="U246" s="68"/>
      <c r="V246" s="59"/>
      <c r="W246" s="6">
        <f>'CLIENT ENROLLMENT DISCHARGE '!M246</f>
        <v>0</v>
      </c>
      <c r="X246" s="76">
        <f>'CLIENT ENROLLMENT DISCHARGE '!L246</f>
        <v>0</v>
      </c>
      <c r="Y246" s="180" t="s">
        <v>0</v>
      </c>
    </row>
    <row r="247" spans="1:25" ht="50.1" customHeight="1" x14ac:dyDescent="0.25">
      <c r="A247" s="5">
        <v>233</v>
      </c>
      <c r="B247" s="10">
        <f>'CLIENT ENROLLMENT DISCHARGE '!B247</f>
        <v>0</v>
      </c>
      <c r="C247" s="4">
        <f>'CLIENT ENROLLMENT DISCHARGE '!C247</f>
        <v>0</v>
      </c>
      <c r="D247" s="51"/>
      <c r="E247" s="52"/>
      <c r="F247" s="51"/>
      <c r="G247" s="52"/>
      <c r="H247" s="62"/>
      <c r="I247" s="115"/>
      <c r="J247" s="9"/>
      <c r="K247" s="70"/>
      <c r="L247" s="52"/>
      <c r="M247" s="8"/>
      <c r="N247" s="7"/>
      <c r="O247" s="218">
        <f t="shared" si="3"/>
        <v>0</v>
      </c>
      <c r="P247" s="218">
        <f>O247+SEPT!P247</f>
        <v>0</v>
      </c>
      <c r="Q247" s="59"/>
      <c r="R247" s="51"/>
      <c r="S247" s="65"/>
      <c r="T247" s="64"/>
      <c r="U247" s="67"/>
      <c r="V247" s="74"/>
      <c r="W247" s="6">
        <f>'CLIENT ENROLLMENT DISCHARGE '!M247</f>
        <v>0</v>
      </c>
      <c r="X247" s="76">
        <f>'CLIENT ENROLLMENT DISCHARGE '!L247</f>
        <v>0</v>
      </c>
      <c r="Y247" s="180" t="s">
        <v>0</v>
      </c>
    </row>
    <row r="248" spans="1:25" ht="50.1" customHeight="1" x14ac:dyDescent="0.25">
      <c r="A248" s="5">
        <v>234</v>
      </c>
      <c r="B248" s="10">
        <f>'CLIENT ENROLLMENT DISCHARGE '!B248</f>
        <v>0</v>
      </c>
      <c r="C248" s="4">
        <f>'CLIENT ENROLLMENT DISCHARGE '!C248</f>
        <v>0</v>
      </c>
      <c r="D248" s="52"/>
      <c r="E248" s="53"/>
      <c r="F248" s="52"/>
      <c r="G248" s="53"/>
      <c r="H248" s="63"/>
      <c r="I248" s="116"/>
      <c r="J248" s="3"/>
      <c r="K248" s="71"/>
      <c r="L248" s="53"/>
      <c r="M248" s="2"/>
      <c r="N248" s="1"/>
      <c r="O248" s="218">
        <f t="shared" si="3"/>
        <v>0</v>
      </c>
      <c r="P248" s="218">
        <f>O248+SEPT!P248</f>
        <v>0</v>
      </c>
      <c r="Q248" s="60"/>
      <c r="R248" s="52"/>
      <c r="S248" s="66"/>
      <c r="T248" s="65"/>
      <c r="U248" s="68"/>
      <c r="V248" s="59"/>
      <c r="W248" s="6">
        <f>'CLIENT ENROLLMENT DISCHARGE '!M248</f>
        <v>0</v>
      </c>
      <c r="X248" s="76">
        <f>'CLIENT ENROLLMENT DISCHARGE '!L248</f>
        <v>0</v>
      </c>
      <c r="Y248" s="180" t="s">
        <v>0</v>
      </c>
    </row>
    <row r="249" spans="1:25" ht="50.1" customHeight="1" x14ac:dyDescent="0.25">
      <c r="A249" s="5">
        <v>235</v>
      </c>
      <c r="B249" s="10">
        <f>'CLIENT ENROLLMENT DISCHARGE '!B249</f>
        <v>0</v>
      </c>
      <c r="C249" s="4">
        <f>'CLIENT ENROLLMENT DISCHARGE '!C249</f>
        <v>0</v>
      </c>
      <c r="D249" s="51"/>
      <c r="E249" s="52"/>
      <c r="F249" s="51"/>
      <c r="G249" s="52"/>
      <c r="H249" s="62"/>
      <c r="I249" s="115"/>
      <c r="J249" s="9"/>
      <c r="K249" s="70"/>
      <c r="L249" s="52"/>
      <c r="M249" s="8"/>
      <c r="N249" s="7"/>
      <c r="O249" s="218">
        <f t="shared" si="3"/>
        <v>0</v>
      </c>
      <c r="P249" s="218">
        <f>O249+SEPT!P249</f>
        <v>0</v>
      </c>
      <c r="Q249" s="59"/>
      <c r="R249" s="51"/>
      <c r="S249" s="65"/>
      <c r="T249" s="64"/>
      <c r="U249" s="67"/>
      <c r="V249" s="74"/>
      <c r="W249" s="6">
        <f>'CLIENT ENROLLMENT DISCHARGE '!M249</f>
        <v>0</v>
      </c>
      <c r="X249" s="76">
        <f>'CLIENT ENROLLMENT DISCHARGE '!L249</f>
        <v>0</v>
      </c>
      <c r="Y249" s="180" t="s">
        <v>0</v>
      </c>
    </row>
    <row r="250" spans="1:25" ht="50.1" customHeight="1" x14ac:dyDescent="0.25">
      <c r="A250" s="5">
        <v>236</v>
      </c>
      <c r="B250" s="10">
        <f>'CLIENT ENROLLMENT DISCHARGE '!B250</f>
        <v>0</v>
      </c>
      <c r="C250" s="4">
        <f>'CLIENT ENROLLMENT DISCHARGE '!C250</f>
        <v>0</v>
      </c>
      <c r="D250" s="52"/>
      <c r="E250" s="53"/>
      <c r="F250" s="52"/>
      <c r="G250" s="53"/>
      <c r="H250" s="63"/>
      <c r="I250" s="116"/>
      <c r="J250" s="3"/>
      <c r="K250" s="71"/>
      <c r="L250" s="53"/>
      <c r="M250" s="2"/>
      <c r="N250" s="1"/>
      <c r="O250" s="218">
        <f t="shared" si="3"/>
        <v>0</v>
      </c>
      <c r="P250" s="218">
        <f>O250+SEPT!P250</f>
        <v>0</v>
      </c>
      <c r="Q250" s="60"/>
      <c r="R250" s="52"/>
      <c r="S250" s="66"/>
      <c r="T250" s="65"/>
      <c r="U250" s="68"/>
      <c r="V250" s="75"/>
      <c r="W250" s="6">
        <f>'CLIENT ENROLLMENT DISCHARGE '!M250</f>
        <v>0</v>
      </c>
      <c r="X250" s="76">
        <f>'CLIENT ENROLLMENT DISCHARGE '!L250</f>
        <v>0</v>
      </c>
      <c r="Y250" s="180" t="s">
        <v>0</v>
      </c>
    </row>
    <row r="251" spans="1:25" ht="50.1" customHeight="1" x14ac:dyDescent="0.25">
      <c r="A251" s="5">
        <v>237</v>
      </c>
      <c r="B251" s="10">
        <f>'CLIENT ENROLLMENT DISCHARGE '!B251</f>
        <v>0</v>
      </c>
      <c r="C251" s="4">
        <f>'CLIENT ENROLLMENT DISCHARGE '!C251</f>
        <v>0</v>
      </c>
      <c r="D251" s="51"/>
      <c r="E251" s="52"/>
      <c r="F251" s="51"/>
      <c r="G251" s="52"/>
      <c r="H251" s="62"/>
      <c r="I251" s="115"/>
      <c r="J251" s="9"/>
      <c r="K251" s="70"/>
      <c r="L251" s="52"/>
      <c r="M251" s="8"/>
      <c r="N251" s="7"/>
      <c r="O251" s="218">
        <f t="shared" si="3"/>
        <v>0</v>
      </c>
      <c r="P251" s="218">
        <f>O251+SEPT!P251</f>
        <v>0</v>
      </c>
      <c r="Q251" s="59"/>
      <c r="R251" s="51"/>
      <c r="S251" s="65"/>
      <c r="T251" s="64"/>
      <c r="U251" s="67"/>
      <c r="V251" s="74"/>
      <c r="W251" s="6">
        <f>'CLIENT ENROLLMENT DISCHARGE '!M251</f>
        <v>0</v>
      </c>
      <c r="X251" s="76">
        <f>'CLIENT ENROLLMENT DISCHARGE '!L251</f>
        <v>0</v>
      </c>
      <c r="Y251" s="180" t="s">
        <v>0</v>
      </c>
    </row>
    <row r="252" spans="1:25" ht="50.1" customHeight="1" x14ac:dyDescent="0.25">
      <c r="A252" s="5">
        <v>238</v>
      </c>
      <c r="B252" s="10">
        <f>'CLIENT ENROLLMENT DISCHARGE '!B252</f>
        <v>0</v>
      </c>
      <c r="C252" s="4">
        <f>'CLIENT ENROLLMENT DISCHARGE '!C252</f>
        <v>0</v>
      </c>
      <c r="D252" s="52"/>
      <c r="E252" s="53"/>
      <c r="F252" s="52"/>
      <c r="G252" s="53"/>
      <c r="H252" s="63"/>
      <c r="I252" s="116"/>
      <c r="J252" s="3"/>
      <c r="K252" s="71"/>
      <c r="L252" s="53"/>
      <c r="M252" s="2"/>
      <c r="N252" s="1"/>
      <c r="O252" s="218">
        <f t="shared" si="3"/>
        <v>0</v>
      </c>
      <c r="P252" s="218">
        <f>O252+SEPT!P252</f>
        <v>0</v>
      </c>
      <c r="Q252" s="60"/>
      <c r="R252" s="52"/>
      <c r="S252" s="66"/>
      <c r="T252" s="65"/>
      <c r="U252" s="68"/>
      <c r="V252" s="59"/>
      <c r="W252" s="6">
        <f>'CLIENT ENROLLMENT DISCHARGE '!M252</f>
        <v>0</v>
      </c>
      <c r="X252" s="76">
        <f>'CLIENT ENROLLMENT DISCHARGE '!L252</f>
        <v>0</v>
      </c>
      <c r="Y252" s="180" t="s">
        <v>0</v>
      </c>
    </row>
    <row r="253" spans="1:25" ht="50.1" customHeight="1" x14ac:dyDescent="0.25">
      <c r="A253" s="5">
        <v>239</v>
      </c>
      <c r="B253" s="10">
        <f>'CLIENT ENROLLMENT DISCHARGE '!B253</f>
        <v>0</v>
      </c>
      <c r="C253" s="4">
        <f>'CLIENT ENROLLMENT DISCHARGE '!C253</f>
        <v>0</v>
      </c>
      <c r="D253" s="51"/>
      <c r="E253" s="52"/>
      <c r="F253" s="51"/>
      <c r="G253" s="52"/>
      <c r="H253" s="62"/>
      <c r="I253" s="115"/>
      <c r="J253" s="9"/>
      <c r="K253" s="70"/>
      <c r="L253" s="52"/>
      <c r="M253" s="8"/>
      <c r="N253" s="7"/>
      <c r="O253" s="218">
        <f t="shared" si="3"/>
        <v>0</v>
      </c>
      <c r="P253" s="218">
        <f>O253+SEPT!P253</f>
        <v>0</v>
      </c>
      <c r="Q253" s="59"/>
      <c r="R253" s="51"/>
      <c r="S253" s="65"/>
      <c r="T253" s="64"/>
      <c r="U253" s="67"/>
      <c r="V253" s="74"/>
      <c r="W253" s="6">
        <f>'CLIENT ENROLLMENT DISCHARGE '!M253</f>
        <v>0</v>
      </c>
      <c r="X253" s="76">
        <f>'CLIENT ENROLLMENT DISCHARGE '!L253</f>
        <v>0</v>
      </c>
      <c r="Y253" s="180" t="s">
        <v>0</v>
      </c>
    </row>
    <row r="254" spans="1:25" ht="50.1" customHeight="1" x14ac:dyDescent="0.25">
      <c r="A254" s="5">
        <v>240</v>
      </c>
      <c r="B254" s="10">
        <f>'CLIENT ENROLLMENT DISCHARGE '!B254</f>
        <v>0</v>
      </c>
      <c r="C254" s="4">
        <f>'CLIENT ENROLLMENT DISCHARGE '!C254</f>
        <v>0</v>
      </c>
      <c r="D254" s="52"/>
      <c r="E254" s="53"/>
      <c r="F254" s="52"/>
      <c r="G254" s="53"/>
      <c r="H254" s="63"/>
      <c r="I254" s="116"/>
      <c r="J254" s="3"/>
      <c r="K254" s="71"/>
      <c r="L254" s="53"/>
      <c r="M254" s="2"/>
      <c r="N254" s="1"/>
      <c r="O254" s="218">
        <f t="shared" si="3"/>
        <v>0</v>
      </c>
      <c r="P254" s="218">
        <f>O254+SEPT!P254</f>
        <v>0</v>
      </c>
      <c r="Q254" s="60"/>
      <c r="R254" s="52"/>
      <c r="S254" s="66"/>
      <c r="T254" s="65"/>
      <c r="U254" s="68"/>
      <c r="V254" s="59"/>
      <c r="W254" s="6">
        <f>'CLIENT ENROLLMENT DISCHARGE '!M254</f>
        <v>0</v>
      </c>
      <c r="X254" s="76">
        <f>'CLIENT ENROLLMENT DISCHARGE '!L254</f>
        <v>0</v>
      </c>
      <c r="Y254" s="180" t="s">
        <v>0</v>
      </c>
    </row>
    <row r="255" spans="1:25" ht="50.1" customHeight="1" x14ac:dyDescent="0.25">
      <c r="A255" s="5">
        <v>241</v>
      </c>
      <c r="B255" s="10">
        <f>'CLIENT ENROLLMENT DISCHARGE '!B255</f>
        <v>0</v>
      </c>
      <c r="C255" s="4">
        <f>'CLIENT ENROLLMENT DISCHARGE '!C255</f>
        <v>0</v>
      </c>
      <c r="D255" s="51"/>
      <c r="E255" s="52"/>
      <c r="F255" s="51"/>
      <c r="G255" s="52"/>
      <c r="H255" s="62"/>
      <c r="I255" s="115"/>
      <c r="J255" s="9"/>
      <c r="K255" s="70"/>
      <c r="L255" s="52"/>
      <c r="M255" s="8"/>
      <c r="N255" s="7"/>
      <c r="O255" s="218">
        <f t="shared" si="3"/>
        <v>0</v>
      </c>
      <c r="P255" s="218">
        <f>O255+SEPT!P255</f>
        <v>0</v>
      </c>
      <c r="Q255" s="59"/>
      <c r="R255" s="51"/>
      <c r="S255" s="65"/>
      <c r="T255" s="64"/>
      <c r="U255" s="67"/>
      <c r="V255" s="74"/>
      <c r="W255" s="6">
        <f>'CLIENT ENROLLMENT DISCHARGE '!M255</f>
        <v>0</v>
      </c>
      <c r="X255" s="76">
        <f>'CLIENT ENROLLMENT DISCHARGE '!L255</f>
        <v>0</v>
      </c>
      <c r="Y255" s="180" t="s">
        <v>0</v>
      </c>
    </row>
    <row r="256" spans="1:25" ht="50.1" customHeight="1" x14ac:dyDescent="0.25">
      <c r="A256" s="5">
        <v>242</v>
      </c>
      <c r="B256" s="10">
        <f>'CLIENT ENROLLMENT DISCHARGE '!B256</f>
        <v>0</v>
      </c>
      <c r="C256" s="4">
        <f>'CLIENT ENROLLMENT DISCHARGE '!C256</f>
        <v>0</v>
      </c>
      <c r="D256" s="52"/>
      <c r="E256" s="53"/>
      <c r="F256" s="52"/>
      <c r="G256" s="53"/>
      <c r="H256" s="63"/>
      <c r="I256" s="116"/>
      <c r="J256" s="3"/>
      <c r="K256" s="71"/>
      <c r="L256" s="53"/>
      <c r="M256" s="2"/>
      <c r="N256" s="1"/>
      <c r="O256" s="218">
        <f t="shared" si="3"/>
        <v>0</v>
      </c>
      <c r="P256" s="218">
        <f>O256+SEPT!P256</f>
        <v>0</v>
      </c>
      <c r="Q256" s="60"/>
      <c r="R256" s="52"/>
      <c r="S256" s="66"/>
      <c r="T256" s="65"/>
      <c r="U256" s="68"/>
      <c r="V256" s="59"/>
      <c r="W256" s="6">
        <f>'CLIENT ENROLLMENT DISCHARGE '!M256</f>
        <v>0</v>
      </c>
      <c r="X256" s="76">
        <f>'CLIENT ENROLLMENT DISCHARGE '!L256</f>
        <v>0</v>
      </c>
      <c r="Y256" s="180" t="s">
        <v>0</v>
      </c>
    </row>
    <row r="257" spans="1:25" ht="50.1" customHeight="1" x14ac:dyDescent="0.25">
      <c r="A257" s="5">
        <v>243</v>
      </c>
      <c r="B257" s="10">
        <f>'CLIENT ENROLLMENT DISCHARGE '!B257</f>
        <v>0</v>
      </c>
      <c r="C257" s="4">
        <f>'CLIENT ENROLLMENT DISCHARGE '!C257</f>
        <v>0</v>
      </c>
      <c r="D257" s="51"/>
      <c r="E257" s="52"/>
      <c r="F257" s="51"/>
      <c r="G257" s="52"/>
      <c r="H257" s="62"/>
      <c r="I257" s="115"/>
      <c r="J257" s="9"/>
      <c r="K257" s="70"/>
      <c r="L257" s="52"/>
      <c r="M257" s="8"/>
      <c r="N257" s="7"/>
      <c r="O257" s="218">
        <f t="shared" si="3"/>
        <v>0</v>
      </c>
      <c r="P257" s="218">
        <f>O257+SEPT!P257</f>
        <v>0</v>
      </c>
      <c r="Q257" s="59"/>
      <c r="R257" s="51"/>
      <c r="S257" s="65"/>
      <c r="T257" s="64"/>
      <c r="U257" s="67"/>
      <c r="V257" s="74"/>
      <c r="W257" s="6">
        <f>'CLIENT ENROLLMENT DISCHARGE '!M257</f>
        <v>0</v>
      </c>
      <c r="X257" s="76">
        <f>'CLIENT ENROLLMENT DISCHARGE '!L257</f>
        <v>0</v>
      </c>
      <c r="Y257" s="180" t="s">
        <v>0</v>
      </c>
    </row>
    <row r="258" spans="1:25" ht="50.1" customHeight="1" x14ac:dyDescent="0.25">
      <c r="A258" s="5">
        <v>244</v>
      </c>
      <c r="B258" s="10">
        <f>'CLIENT ENROLLMENT DISCHARGE '!B258</f>
        <v>0</v>
      </c>
      <c r="C258" s="4">
        <f>'CLIENT ENROLLMENT DISCHARGE '!C258</f>
        <v>0</v>
      </c>
      <c r="D258" s="52"/>
      <c r="E258" s="53"/>
      <c r="F258" s="52"/>
      <c r="G258" s="53"/>
      <c r="H258" s="63"/>
      <c r="I258" s="116"/>
      <c r="J258" s="3"/>
      <c r="K258" s="71"/>
      <c r="L258" s="53"/>
      <c r="M258" s="2"/>
      <c r="N258" s="1"/>
      <c r="O258" s="218">
        <f t="shared" si="3"/>
        <v>0</v>
      </c>
      <c r="P258" s="218">
        <f>O258+SEPT!P258</f>
        <v>0</v>
      </c>
      <c r="Q258" s="60"/>
      <c r="R258" s="52"/>
      <c r="S258" s="66"/>
      <c r="T258" s="65"/>
      <c r="U258" s="68"/>
      <c r="V258" s="59"/>
      <c r="W258" s="6">
        <f>'CLIENT ENROLLMENT DISCHARGE '!M258</f>
        <v>0</v>
      </c>
      <c r="X258" s="76">
        <f>'CLIENT ENROLLMENT DISCHARGE '!L258</f>
        <v>0</v>
      </c>
      <c r="Y258" s="180" t="s">
        <v>0</v>
      </c>
    </row>
    <row r="259" spans="1:25" ht="50.1" customHeight="1" x14ac:dyDescent="0.25">
      <c r="A259" s="5">
        <v>245</v>
      </c>
      <c r="B259" s="10">
        <f>'CLIENT ENROLLMENT DISCHARGE '!B259</f>
        <v>0</v>
      </c>
      <c r="C259" s="4">
        <f>'CLIENT ENROLLMENT DISCHARGE '!C259</f>
        <v>0</v>
      </c>
      <c r="D259" s="51"/>
      <c r="E259" s="52"/>
      <c r="F259" s="51"/>
      <c r="G259" s="52"/>
      <c r="H259" s="62"/>
      <c r="I259" s="115"/>
      <c r="J259" s="9"/>
      <c r="K259" s="70"/>
      <c r="L259" s="52"/>
      <c r="M259" s="8"/>
      <c r="N259" s="7"/>
      <c r="O259" s="218">
        <f t="shared" si="3"/>
        <v>0</v>
      </c>
      <c r="P259" s="218">
        <f>O259+SEPT!P259</f>
        <v>0</v>
      </c>
      <c r="Q259" s="59"/>
      <c r="R259" s="51"/>
      <c r="S259" s="65"/>
      <c r="T259" s="64"/>
      <c r="U259" s="67"/>
      <c r="V259" s="74"/>
      <c r="W259" s="6">
        <f>'CLIENT ENROLLMENT DISCHARGE '!M259</f>
        <v>0</v>
      </c>
      <c r="X259" s="76">
        <f>'CLIENT ENROLLMENT DISCHARGE '!L259</f>
        <v>0</v>
      </c>
      <c r="Y259" s="180" t="s">
        <v>0</v>
      </c>
    </row>
    <row r="260" spans="1:25" ht="50.1" customHeight="1" x14ac:dyDescent="0.25">
      <c r="A260" s="5">
        <v>246</v>
      </c>
      <c r="B260" s="10">
        <f>'CLIENT ENROLLMENT DISCHARGE '!B260</f>
        <v>0</v>
      </c>
      <c r="C260" s="4">
        <f>'CLIENT ENROLLMENT DISCHARGE '!C260</f>
        <v>0</v>
      </c>
      <c r="D260" s="52"/>
      <c r="E260" s="53"/>
      <c r="F260" s="52"/>
      <c r="G260" s="53"/>
      <c r="H260" s="63"/>
      <c r="I260" s="116"/>
      <c r="J260" s="3"/>
      <c r="K260" s="71"/>
      <c r="L260" s="53"/>
      <c r="M260" s="2"/>
      <c r="N260" s="1"/>
      <c r="O260" s="218">
        <f t="shared" si="3"/>
        <v>0</v>
      </c>
      <c r="P260" s="218">
        <f>O260+SEPT!P260</f>
        <v>0</v>
      </c>
      <c r="Q260" s="60"/>
      <c r="R260" s="52"/>
      <c r="S260" s="66"/>
      <c r="T260" s="65"/>
      <c r="U260" s="68"/>
      <c r="V260" s="75"/>
      <c r="W260" s="6">
        <f>'CLIENT ENROLLMENT DISCHARGE '!M260</f>
        <v>0</v>
      </c>
      <c r="X260" s="76">
        <f>'CLIENT ENROLLMENT DISCHARGE '!L260</f>
        <v>0</v>
      </c>
      <c r="Y260" s="180" t="s">
        <v>0</v>
      </c>
    </row>
    <row r="261" spans="1:25" ht="50.1" customHeight="1" x14ac:dyDescent="0.25">
      <c r="A261" s="5">
        <v>247</v>
      </c>
      <c r="B261" s="10">
        <f>'CLIENT ENROLLMENT DISCHARGE '!B261</f>
        <v>0</v>
      </c>
      <c r="C261" s="4">
        <f>'CLIENT ENROLLMENT DISCHARGE '!C261</f>
        <v>0</v>
      </c>
      <c r="D261" s="51"/>
      <c r="E261" s="52"/>
      <c r="F261" s="51"/>
      <c r="G261" s="52"/>
      <c r="H261" s="62"/>
      <c r="I261" s="115"/>
      <c r="J261" s="9"/>
      <c r="K261" s="70"/>
      <c r="L261" s="52"/>
      <c r="M261" s="8"/>
      <c r="N261" s="7"/>
      <c r="O261" s="218">
        <f t="shared" si="3"/>
        <v>0</v>
      </c>
      <c r="P261" s="218">
        <f>O261+SEPT!P261</f>
        <v>0</v>
      </c>
      <c r="Q261" s="59"/>
      <c r="R261" s="51"/>
      <c r="S261" s="65"/>
      <c r="T261" s="64"/>
      <c r="U261" s="67"/>
      <c r="V261" s="74"/>
      <c r="W261" s="6">
        <f>'CLIENT ENROLLMENT DISCHARGE '!M261</f>
        <v>0</v>
      </c>
      <c r="X261" s="76">
        <f>'CLIENT ENROLLMENT DISCHARGE '!L261</f>
        <v>0</v>
      </c>
      <c r="Y261" s="180" t="s">
        <v>0</v>
      </c>
    </row>
    <row r="262" spans="1:25" ht="50.1" customHeight="1" x14ac:dyDescent="0.25">
      <c r="A262" s="5">
        <v>248</v>
      </c>
      <c r="B262" s="10">
        <f>'CLIENT ENROLLMENT DISCHARGE '!B262</f>
        <v>0</v>
      </c>
      <c r="C262" s="4">
        <f>'CLIENT ENROLLMENT DISCHARGE '!C262</f>
        <v>0</v>
      </c>
      <c r="D262" s="52"/>
      <c r="E262" s="53"/>
      <c r="F262" s="52"/>
      <c r="G262" s="53"/>
      <c r="H262" s="63"/>
      <c r="I262" s="116"/>
      <c r="J262" s="3"/>
      <c r="K262" s="71"/>
      <c r="L262" s="53"/>
      <c r="M262" s="2"/>
      <c r="N262" s="1"/>
      <c r="O262" s="218">
        <f t="shared" si="3"/>
        <v>0</v>
      </c>
      <c r="P262" s="218">
        <f>O262+SEPT!P262</f>
        <v>0</v>
      </c>
      <c r="Q262" s="60"/>
      <c r="R262" s="52"/>
      <c r="S262" s="66"/>
      <c r="T262" s="65"/>
      <c r="U262" s="68"/>
      <c r="V262" s="59"/>
      <c r="W262" s="6">
        <f>'CLIENT ENROLLMENT DISCHARGE '!M262</f>
        <v>0</v>
      </c>
      <c r="X262" s="76">
        <f>'CLIENT ENROLLMENT DISCHARGE '!L262</f>
        <v>0</v>
      </c>
      <c r="Y262" s="180" t="s">
        <v>0</v>
      </c>
    </row>
    <row r="263" spans="1:25" ht="50.1" customHeight="1" x14ac:dyDescent="0.25">
      <c r="A263" s="5">
        <v>249</v>
      </c>
      <c r="B263" s="10">
        <f>'CLIENT ENROLLMENT DISCHARGE '!B263</f>
        <v>0</v>
      </c>
      <c r="C263" s="4">
        <f>'CLIENT ENROLLMENT DISCHARGE '!C263</f>
        <v>0</v>
      </c>
      <c r="D263" s="51"/>
      <c r="E263" s="52"/>
      <c r="F263" s="51"/>
      <c r="G263" s="52"/>
      <c r="H263" s="62"/>
      <c r="I263" s="115"/>
      <c r="J263" s="9"/>
      <c r="K263" s="70"/>
      <c r="L263" s="52"/>
      <c r="M263" s="8"/>
      <c r="N263" s="7"/>
      <c r="O263" s="218">
        <f t="shared" si="3"/>
        <v>0</v>
      </c>
      <c r="P263" s="218">
        <f>O263+SEPT!P263</f>
        <v>0</v>
      </c>
      <c r="Q263" s="59"/>
      <c r="R263" s="51"/>
      <c r="S263" s="65"/>
      <c r="T263" s="64"/>
      <c r="U263" s="67"/>
      <c r="V263" s="74"/>
      <c r="W263" s="6">
        <f>'CLIENT ENROLLMENT DISCHARGE '!M263</f>
        <v>0</v>
      </c>
      <c r="X263" s="76">
        <f>'CLIENT ENROLLMENT DISCHARGE '!L263</f>
        <v>0</v>
      </c>
      <c r="Y263" s="180" t="s">
        <v>0</v>
      </c>
    </row>
    <row r="264" spans="1:25" ht="50.1" customHeight="1" x14ac:dyDescent="0.25">
      <c r="A264" s="5">
        <v>250</v>
      </c>
      <c r="B264" s="10">
        <f>'CLIENT ENROLLMENT DISCHARGE '!B264</f>
        <v>0</v>
      </c>
      <c r="C264" s="4">
        <f>'CLIENT ENROLLMENT DISCHARGE '!C264</f>
        <v>0</v>
      </c>
      <c r="D264" s="52"/>
      <c r="E264" s="53"/>
      <c r="F264" s="52"/>
      <c r="G264" s="53"/>
      <c r="H264" s="63"/>
      <c r="I264" s="116"/>
      <c r="J264" s="3"/>
      <c r="K264" s="71"/>
      <c r="L264" s="53"/>
      <c r="M264" s="2"/>
      <c r="N264" s="1"/>
      <c r="O264" s="218">
        <f t="shared" si="3"/>
        <v>0</v>
      </c>
      <c r="P264" s="218">
        <f>O264+SEPT!P264</f>
        <v>0</v>
      </c>
      <c r="Q264" s="60"/>
      <c r="R264" s="52"/>
      <c r="S264" s="66"/>
      <c r="T264" s="65"/>
      <c r="U264" s="68"/>
      <c r="V264" s="59"/>
      <c r="W264" s="6">
        <f>'CLIENT ENROLLMENT DISCHARGE '!M264</f>
        <v>0</v>
      </c>
      <c r="X264" s="76">
        <f>'CLIENT ENROLLMENT DISCHARGE '!L264</f>
        <v>0</v>
      </c>
      <c r="Y264" s="180" t="s">
        <v>0</v>
      </c>
    </row>
    <row r="265" spans="1:25" ht="50.1" customHeight="1" x14ac:dyDescent="0.25">
      <c r="A265" s="5">
        <v>251</v>
      </c>
      <c r="B265" s="10">
        <f>'CLIENT ENROLLMENT DISCHARGE '!B265</f>
        <v>0</v>
      </c>
      <c r="C265" s="4">
        <f>'CLIENT ENROLLMENT DISCHARGE '!C265</f>
        <v>0</v>
      </c>
      <c r="D265" s="51"/>
      <c r="E265" s="52"/>
      <c r="F265" s="51"/>
      <c r="G265" s="52"/>
      <c r="H265" s="62"/>
      <c r="I265" s="115"/>
      <c r="J265" s="9"/>
      <c r="K265" s="70"/>
      <c r="L265" s="52"/>
      <c r="M265" s="8"/>
      <c r="N265" s="7"/>
      <c r="O265" s="218">
        <f t="shared" si="3"/>
        <v>0</v>
      </c>
      <c r="P265" s="218">
        <f>O265+SEPT!P265</f>
        <v>0</v>
      </c>
      <c r="Q265" s="59"/>
      <c r="R265" s="51"/>
      <c r="S265" s="65"/>
      <c r="T265" s="64"/>
      <c r="U265" s="67"/>
      <c r="V265" s="74"/>
      <c r="W265" s="6">
        <f>'CLIENT ENROLLMENT DISCHARGE '!M265</f>
        <v>0</v>
      </c>
      <c r="X265" s="76">
        <f>'CLIENT ENROLLMENT DISCHARGE '!L265</f>
        <v>0</v>
      </c>
      <c r="Y265" s="180" t="s">
        <v>0</v>
      </c>
    </row>
    <row r="266" spans="1:25" ht="50.1" customHeight="1" x14ac:dyDescent="0.25">
      <c r="A266" s="5">
        <v>252</v>
      </c>
      <c r="B266" s="10">
        <f>'CLIENT ENROLLMENT DISCHARGE '!B266</f>
        <v>0</v>
      </c>
      <c r="C266" s="4">
        <f>'CLIENT ENROLLMENT DISCHARGE '!C266</f>
        <v>0</v>
      </c>
      <c r="D266" s="52"/>
      <c r="E266" s="53"/>
      <c r="F266" s="52"/>
      <c r="G266" s="53"/>
      <c r="H266" s="63"/>
      <c r="I266" s="116"/>
      <c r="J266" s="3"/>
      <c r="K266" s="71"/>
      <c r="L266" s="53"/>
      <c r="M266" s="2"/>
      <c r="N266" s="1"/>
      <c r="O266" s="218">
        <f t="shared" si="3"/>
        <v>0</v>
      </c>
      <c r="P266" s="218">
        <f>O266+SEPT!P266</f>
        <v>0</v>
      </c>
      <c r="Q266" s="60"/>
      <c r="R266" s="52"/>
      <c r="S266" s="66"/>
      <c r="T266" s="65"/>
      <c r="U266" s="68"/>
      <c r="V266" s="59"/>
      <c r="W266" s="6">
        <f>'CLIENT ENROLLMENT DISCHARGE '!M266</f>
        <v>0</v>
      </c>
      <c r="X266" s="76">
        <f>'CLIENT ENROLLMENT DISCHARGE '!L266</f>
        <v>0</v>
      </c>
      <c r="Y266" s="180" t="s">
        <v>0</v>
      </c>
    </row>
    <row r="267" spans="1:25" ht="50.1" customHeight="1" x14ac:dyDescent="0.25">
      <c r="A267" s="5">
        <v>253</v>
      </c>
      <c r="B267" s="10">
        <f>'CLIENT ENROLLMENT DISCHARGE '!B267</f>
        <v>0</v>
      </c>
      <c r="C267" s="4">
        <f>'CLIENT ENROLLMENT DISCHARGE '!C267</f>
        <v>0</v>
      </c>
      <c r="D267" s="51"/>
      <c r="E267" s="52"/>
      <c r="F267" s="51"/>
      <c r="G267" s="52"/>
      <c r="H267" s="62"/>
      <c r="I267" s="115"/>
      <c r="J267" s="9"/>
      <c r="K267" s="70"/>
      <c r="L267" s="52"/>
      <c r="M267" s="8"/>
      <c r="N267" s="7"/>
      <c r="O267" s="218">
        <f t="shared" si="3"/>
        <v>0</v>
      </c>
      <c r="P267" s="218">
        <f>O267+SEPT!P267</f>
        <v>0</v>
      </c>
      <c r="Q267" s="59"/>
      <c r="R267" s="51"/>
      <c r="S267" s="65"/>
      <c r="T267" s="64"/>
      <c r="U267" s="67"/>
      <c r="V267" s="74"/>
      <c r="W267" s="6">
        <f>'CLIENT ENROLLMENT DISCHARGE '!M267</f>
        <v>0</v>
      </c>
      <c r="X267" s="76">
        <f>'CLIENT ENROLLMENT DISCHARGE '!L267</f>
        <v>0</v>
      </c>
      <c r="Y267" s="180" t="s">
        <v>0</v>
      </c>
    </row>
    <row r="268" spans="1:25" ht="50.1" customHeight="1" x14ac:dyDescent="0.25">
      <c r="A268" s="5">
        <v>254</v>
      </c>
      <c r="B268" s="10">
        <f>'CLIENT ENROLLMENT DISCHARGE '!B268</f>
        <v>0</v>
      </c>
      <c r="C268" s="4">
        <f>'CLIENT ENROLLMENT DISCHARGE '!C268</f>
        <v>0</v>
      </c>
      <c r="D268" s="52"/>
      <c r="E268" s="53"/>
      <c r="F268" s="52"/>
      <c r="G268" s="53"/>
      <c r="H268" s="63"/>
      <c r="I268" s="116"/>
      <c r="J268" s="3"/>
      <c r="K268" s="71"/>
      <c r="L268" s="53"/>
      <c r="M268" s="2"/>
      <c r="N268" s="1"/>
      <c r="O268" s="218">
        <f t="shared" si="3"/>
        <v>0</v>
      </c>
      <c r="P268" s="218">
        <f>O268+SEPT!P268</f>
        <v>0</v>
      </c>
      <c r="Q268" s="60"/>
      <c r="R268" s="52"/>
      <c r="S268" s="66"/>
      <c r="T268" s="65"/>
      <c r="U268" s="68"/>
      <c r="V268" s="59"/>
      <c r="W268" s="6">
        <f>'CLIENT ENROLLMENT DISCHARGE '!M268</f>
        <v>0</v>
      </c>
      <c r="X268" s="76">
        <f>'CLIENT ENROLLMENT DISCHARGE '!L268</f>
        <v>0</v>
      </c>
      <c r="Y268" s="180" t="s">
        <v>0</v>
      </c>
    </row>
    <row r="269" spans="1:25" ht="50.1" customHeight="1" x14ac:dyDescent="0.25">
      <c r="A269" s="5">
        <v>255</v>
      </c>
      <c r="B269" s="10">
        <f>'CLIENT ENROLLMENT DISCHARGE '!B269</f>
        <v>0</v>
      </c>
      <c r="C269" s="4">
        <f>'CLIENT ENROLLMENT DISCHARGE '!C269</f>
        <v>0</v>
      </c>
      <c r="D269" s="51"/>
      <c r="E269" s="52"/>
      <c r="F269" s="51"/>
      <c r="G269" s="52"/>
      <c r="H269" s="62"/>
      <c r="I269" s="115"/>
      <c r="J269" s="9"/>
      <c r="K269" s="70"/>
      <c r="L269" s="52"/>
      <c r="M269" s="8"/>
      <c r="N269" s="7"/>
      <c r="O269" s="218">
        <f t="shared" si="3"/>
        <v>0</v>
      </c>
      <c r="P269" s="218">
        <f>O269+SEPT!P269</f>
        <v>0</v>
      </c>
      <c r="Q269" s="59"/>
      <c r="R269" s="51"/>
      <c r="S269" s="65"/>
      <c r="T269" s="64"/>
      <c r="U269" s="67"/>
      <c r="V269" s="74"/>
      <c r="W269" s="6">
        <f>'CLIENT ENROLLMENT DISCHARGE '!M269</f>
        <v>0</v>
      </c>
      <c r="X269" s="76">
        <f>'CLIENT ENROLLMENT DISCHARGE '!L269</f>
        <v>0</v>
      </c>
      <c r="Y269" s="180" t="s">
        <v>0</v>
      </c>
    </row>
    <row r="270" spans="1:25" ht="50.1" customHeight="1" x14ac:dyDescent="0.25">
      <c r="A270" s="5">
        <v>256</v>
      </c>
      <c r="B270" s="10">
        <f>'CLIENT ENROLLMENT DISCHARGE '!B270</f>
        <v>0</v>
      </c>
      <c r="C270" s="4">
        <f>'CLIENT ENROLLMENT DISCHARGE '!C270</f>
        <v>0</v>
      </c>
      <c r="D270" s="52"/>
      <c r="E270" s="53"/>
      <c r="F270" s="52"/>
      <c r="G270" s="53"/>
      <c r="H270" s="63"/>
      <c r="I270" s="116"/>
      <c r="J270" s="3"/>
      <c r="K270" s="71"/>
      <c r="L270" s="53"/>
      <c r="M270" s="2"/>
      <c r="N270" s="1"/>
      <c r="O270" s="218">
        <f t="shared" si="3"/>
        <v>0</v>
      </c>
      <c r="P270" s="218">
        <f>O270+SEPT!P270</f>
        <v>0</v>
      </c>
      <c r="Q270" s="60"/>
      <c r="R270" s="52"/>
      <c r="S270" s="66"/>
      <c r="T270" s="65"/>
      <c r="U270" s="68"/>
      <c r="V270" s="75"/>
      <c r="W270" s="6">
        <f>'CLIENT ENROLLMENT DISCHARGE '!M270</f>
        <v>0</v>
      </c>
      <c r="X270" s="76">
        <f>'CLIENT ENROLLMENT DISCHARGE '!L270</f>
        <v>0</v>
      </c>
      <c r="Y270" s="180" t="s">
        <v>0</v>
      </c>
    </row>
    <row r="271" spans="1:25" ht="50.1" customHeight="1" x14ac:dyDescent="0.25">
      <c r="A271" s="5">
        <v>257</v>
      </c>
      <c r="B271" s="10">
        <f>'CLIENT ENROLLMENT DISCHARGE '!B271</f>
        <v>0</v>
      </c>
      <c r="C271" s="4">
        <f>'CLIENT ENROLLMENT DISCHARGE '!C271</f>
        <v>0</v>
      </c>
      <c r="D271" s="51"/>
      <c r="E271" s="52"/>
      <c r="F271" s="51"/>
      <c r="G271" s="52"/>
      <c r="H271" s="62"/>
      <c r="I271" s="115"/>
      <c r="J271" s="9"/>
      <c r="K271" s="70"/>
      <c r="L271" s="52"/>
      <c r="M271" s="8"/>
      <c r="N271" s="7"/>
      <c r="O271" s="218">
        <f t="shared" si="3"/>
        <v>0</v>
      </c>
      <c r="P271" s="218">
        <f>O271+SEPT!P271</f>
        <v>0</v>
      </c>
      <c r="Q271" s="59"/>
      <c r="R271" s="51"/>
      <c r="S271" s="65"/>
      <c r="T271" s="64"/>
      <c r="U271" s="67"/>
      <c r="V271" s="74"/>
      <c r="W271" s="6">
        <f>'CLIENT ENROLLMENT DISCHARGE '!M271</f>
        <v>0</v>
      </c>
      <c r="X271" s="76">
        <f>'CLIENT ENROLLMENT DISCHARGE '!L271</f>
        <v>0</v>
      </c>
      <c r="Y271" s="180" t="s">
        <v>0</v>
      </c>
    </row>
    <row r="272" spans="1:25" ht="50.1" customHeight="1" x14ac:dyDescent="0.25">
      <c r="A272" s="5">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4">K272*N272</f>
        <v>0</v>
      </c>
      <c r="P272" s="218">
        <f>O272+SEPT!P272</f>
        <v>0</v>
      </c>
      <c r="Q272" s="60"/>
      <c r="R272" s="52"/>
      <c r="S272" s="66"/>
      <c r="T272" s="65"/>
      <c r="U272" s="68"/>
      <c r="V272" s="59"/>
      <c r="W272" s="6">
        <f>'CLIENT ENROLLMENT DISCHARGE '!M272</f>
        <v>0</v>
      </c>
      <c r="X272" s="76">
        <f>'CLIENT ENROLLMENT DISCHARGE '!L272</f>
        <v>0</v>
      </c>
      <c r="Y272" s="180" t="s">
        <v>0</v>
      </c>
    </row>
    <row r="273" spans="1:25" ht="50.1" customHeight="1" x14ac:dyDescent="0.25">
      <c r="A273" s="5">
        <v>259</v>
      </c>
      <c r="B273" s="10">
        <f>'CLIENT ENROLLMENT DISCHARGE '!B273</f>
        <v>0</v>
      </c>
      <c r="C273" s="4">
        <f>'CLIENT ENROLLMENT DISCHARGE '!C273</f>
        <v>0</v>
      </c>
      <c r="D273" s="51"/>
      <c r="E273" s="52"/>
      <c r="F273" s="51"/>
      <c r="G273" s="52"/>
      <c r="H273" s="62"/>
      <c r="I273" s="115"/>
      <c r="J273" s="9"/>
      <c r="K273" s="70"/>
      <c r="L273" s="52"/>
      <c r="M273" s="8"/>
      <c r="N273" s="7"/>
      <c r="O273" s="218">
        <f t="shared" si="4"/>
        <v>0</v>
      </c>
      <c r="P273" s="218">
        <f>O273+SEPT!P273</f>
        <v>0</v>
      </c>
      <c r="Q273" s="59"/>
      <c r="R273" s="51"/>
      <c r="S273" s="65"/>
      <c r="T273" s="64"/>
      <c r="U273" s="67"/>
      <c r="V273" s="74"/>
      <c r="W273" s="6">
        <f>'CLIENT ENROLLMENT DISCHARGE '!M273</f>
        <v>0</v>
      </c>
      <c r="X273" s="76">
        <f>'CLIENT ENROLLMENT DISCHARGE '!L273</f>
        <v>0</v>
      </c>
      <c r="Y273" s="180" t="s">
        <v>0</v>
      </c>
    </row>
    <row r="274" spans="1:25" ht="50.1" customHeight="1" x14ac:dyDescent="0.25">
      <c r="A274" s="5">
        <v>260</v>
      </c>
      <c r="B274" s="10">
        <f>'CLIENT ENROLLMENT DISCHARGE '!B274</f>
        <v>0</v>
      </c>
      <c r="C274" s="4">
        <f>'CLIENT ENROLLMENT DISCHARGE '!C274</f>
        <v>0</v>
      </c>
      <c r="D274" s="52"/>
      <c r="E274" s="53"/>
      <c r="F274" s="52"/>
      <c r="G274" s="53"/>
      <c r="H274" s="63"/>
      <c r="I274" s="116"/>
      <c r="J274" s="3"/>
      <c r="K274" s="71"/>
      <c r="L274" s="53"/>
      <c r="M274" s="2"/>
      <c r="N274" s="1"/>
      <c r="O274" s="218">
        <f t="shared" si="4"/>
        <v>0</v>
      </c>
      <c r="P274" s="218">
        <f>O274+SEPT!P274</f>
        <v>0</v>
      </c>
      <c r="Q274" s="60"/>
      <c r="R274" s="52"/>
      <c r="S274" s="66"/>
      <c r="T274" s="65"/>
      <c r="U274" s="68"/>
      <c r="V274" s="59"/>
      <c r="W274" s="6">
        <f>'CLIENT ENROLLMENT DISCHARGE '!M274</f>
        <v>0</v>
      </c>
      <c r="X274" s="76">
        <f>'CLIENT ENROLLMENT DISCHARGE '!L274</f>
        <v>0</v>
      </c>
      <c r="Y274" s="180" t="s">
        <v>0</v>
      </c>
    </row>
    <row r="275" spans="1:25" ht="50.1" customHeight="1" x14ac:dyDescent="0.25">
      <c r="A275" s="5">
        <v>261</v>
      </c>
      <c r="B275" s="10">
        <f>'CLIENT ENROLLMENT DISCHARGE '!B275</f>
        <v>0</v>
      </c>
      <c r="C275" s="4">
        <f>'CLIENT ENROLLMENT DISCHARGE '!C275</f>
        <v>0</v>
      </c>
      <c r="D275" s="51"/>
      <c r="E275" s="52"/>
      <c r="F275" s="51"/>
      <c r="G275" s="52"/>
      <c r="H275" s="62"/>
      <c r="I275" s="115"/>
      <c r="J275" s="9"/>
      <c r="K275" s="70"/>
      <c r="L275" s="52"/>
      <c r="M275" s="8"/>
      <c r="N275" s="7"/>
      <c r="O275" s="218">
        <f t="shared" si="4"/>
        <v>0</v>
      </c>
      <c r="P275" s="218">
        <f>O275+SEPT!P275</f>
        <v>0</v>
      </c>
      <c r="Q275" s="59"/>
      <c r="R275" s="51"/>
      <c r="S275" s="65"/>
      <c r="T275" s="64"/>
      <c r="U275" s="67"/>
      <c r="V275" s="74"/>
      <c r="W275" s="6">
        <f>'CLIENT ENROLLMENT DISCHARGE '!M275</f>
        <v>0</v>
      </c>
      <c r="X275" s="76">
        <f>'CLIENT ENROLLMENT DISCHARGE '!L275</f>
        <v>0</v>
      </c>
      <c r="Y275" s="180" t="s">
        <v>0</v>
      </c>
    </row>
    <row r="276" spans="1:25" ht="50.1" customHeight="1" x14ac:dyDescent="0.25">
      <c r="A276" s="5">
        <v>262</v>
      </c>
      <c r="B276" s="10">
        <f>'CLIENT ENROLLMENT DISCHARGE '!B276</f>
        <v>0</v>
      </c>
      <c r="C276" s="4">
        <f>'CLIENT ENROLLMENT DISCHARGE '!C276</f>
        <v>0</v>
      </c>
      <c r="D276" s="52"/>
      <c r="E276" s="53"/>
      <c r="F276" s="52"/>
      <c r="G276" s="53"/>
      <c r="H276" s="63"/>
      <c r="I276" s="116"/>
      <c r="J276" s="3"/>
      <c r="K276" s="71"/>
      <c r="L276" s="53"/>
      <c r="M276" s="2"/>
      <c r="N276" s="1"/>
      <c r="O276" s="218">
        <f t="shared" si="4"/>
        <v>0</v>
      </c>
      <c r="P276" s="218">
        <f>O276+SEPT!P276</f>
        <v>0</v>
      </c>
      <c r="Q276" s="60"/>
      <c r="R276" s="52"/>
      <c r="S276" s="66"/>
      <c r="T276" s="65"/>
      <c r="U276" s="68"/>
      <c r="V276" s="59"/>
      <c r="W276" s="6">
        <f>'CLIENT ENROLLMENT DISCHARGE '!M276</f>
        <v>0</v>
      </c>
      <c r="X276" s="76">
        <f>'CLIENT ENROLLMENT DISCHARGE '!L276</f>
        <v>0</v>
      </c>
      <c r="Y276" s="180" t="s">
        <v>0</v>
      </c>
    </row>
    <row r="277" spans="1:25" ht="50.1" customHeight="1" x14ac:dyDescent="0.25">
      <c r="A277" s="5">
        <v>263</v>
      </c>
      <c r="B277" s="10">
        <f>'CLIENT ENROLLMENT DISCHARGE '!B277</f>
        <v>0</v>
      </c>
      <c r="C277" s="4">
        <f>'CLIENT ENROLLMENT DISCHARGE '!C277</f>
        <v>0</v>
      </c>
      <c r="D277" s="51"/>
      <c r="E277" s="52"/>
      <c r="F277" s="51"/>
      <c r="G277" s="52"/>
      <c r="H277" s="62"/>
      <c r="I277" s="115"/>
      <c r="J277" s="9"/>
      <c r="K277" s="70"/>
      <c r="L277" s="52"/>
      <c r="M277" s="8"/>
      <c r="N277" s="7"/>
      <c r="O277" s="218">
        <f t="shared" si="4"/>
        <v>0</v>
      </c>
      <c r="P277" s="218">
        <f>O277+SEPT!P277</f>
        <v>0</v>
      </c>
      <c r="Q277" s="59"/>
      <c r="R277" s="51"/>
      <c r="S277" s="65"/>
      <c r="T277" s="64"/>
      <c r="U277" s="67"/>
      <c r="V277" s="74"/>
      <c r="W277" s="6">
        <f>'CLIENT ENROLLMENT DISCHARGE '!M277</f>
        <v>0</v>
      </c>
      <c r="X277" s="76">
        <f>'CLIENT ENROLLMENT DISCHARGE '!L277</f>
        <v>0</v>
      </c>
      <c r="Y277" s="180" t="s">
        <v>0</v>
      </c>
    </row>
    <row r="278" spans="1:25" ht="50.1" customHeight="1" x14ac:dyDescent="0.25">
      <c r="A278" s="5">
        <v>264</v>
      </c>
      <c r="B278" s="10">
        <f>'CLIENT ENROLLMENT DISCHARGE '!B278</f>
        <v>0</v>
      </c>
      <c r="C278" s="4">
        <f>'CLIENT ENROLLMENT DISCHARGE '!C278</f>
        <v>0</v>
      </c>
      <c r="D278" s="52"/>
      <c r="E278" s="53"/>
      <c r="F278" s="52"/>
      <c r="G278" s="53"/>
      <c r="H278" s="63"/>
      <c r="I278" s="116"/>
      <c r="J278" s="3"/>
      <c r="K278" s="71"/>
      <c r="L278" s="53"/>
      <c r="M278" s="2"/>
      <c r="N278" s="1"/>
      <c r="O278" s="218">
        <f t="shared" si="4"/>
        <v>0</v>
      </c>
      <c r="P278" s="218">
        <f>O278+SEPT!P278</f>
        <v>0</v>
      </c>
      <c r="Q278" s="60"/>
      <c r="R278" s="52"/>
      <c r="S278" s="66"/>
      <c r="T278" s="65"/>
      <c r="U278" s="68"/>
      <c r="V278" s="59"/>
      <c r="W278" s="6">
        <f>'CLIENT ENROLLMENT DISCHARGE '!M278</f>
        <v>0</v>
      </c>
      <c r="X278" s="76">
        <f>'CLIENT ENROLLMENT DISCHARGE '!L278</f>
        <v>0</v>
      </c>
      <c r="Y278" s="180" t="s">
        <v>0</v>
      </c>
    </row>
    <row r="279" spans="1:25" ht="50.1" customHeight="1" x14ac:dyDescent="0.25">
      <c r="A279" s="5">
        <v>265</v>
      </c>
      <c r="B279" s="10">
        <f>'CLIENT ENROLLMENT DISCHARGE '!B279</f>
        <v>0</v>
      </c>
      <c r="C279" s="4">
        <f>'CLIENT ENROLLMENT DISCHARGE '!C279</f>
        <v>0</v>
      </c>
      <c r="D279" s="51"/>
      <c r="E279" s="52"/>
      <c r="F279" s="51"/>
      <c r="G279" s="52"/>
      <c r="H279" s="62"/>
      <c r="I279" s="115"/>
      <c r="J279" s="9"/>
      <c r="K279" s="70"/>
      <c r="L279" s="52"/>
      <c r="M279" s="8"/>
      <c r="N279" s="7"/>
      <c r="O279" s="218">
        <f t="shared" si="4"/>
        <v>0</v>
      </c>
      <c r="P279" s="218">
        <f>O279+SEPT!P279</f>
        <v>0</v>
      </c>
      <c r="Q279" s="59"/>
      <c r="R279" s="51"/>
      <c r="S279" s="65"/>
      <c r="T279" s="64"/>
      <c r="U279" s="67"/>
      <c r="V279" s="74"/>
      <c r="W279" s="6">
        <f>'CLIENT ENROLLMENT DISCHARGE '!M279</f>
        <v>0</v>
      </c>
      <c r="X279" s="76">
        <f>'CLIENT ENROLLMENT DISCHARGE '!L279</f>
        <v>0</v>
      </c>
      <c r="Y279" s="180" t="s">
        <v>0</v>
      </c>
    </row>
    <row r="280" spans="1:25" ht="50.1" customHeight="1" x14ac:dyDescent="0.25">
      <c r="A280" s="5">
        <v>266</v>
      </c>
      <c r="B280" s="10">
        <f>'CLIENT ENROLLMENT DISCHARGE '!B280</f>
        <v>0</v>
      </c>
      <c r="C280" s="4">
        <f>'CLIENT ENROLLMENT DISCHARGE '!C280</f>
        <v>0</v>
      </c>
      <c r="D280" s="52"/>
      <c r="E280" s="53"/>
      <c r="F280" s="52"/>
      <c r="G280" s="53"/>
      <c r="H280" s="63"/>
      <c r="I280" s="116"/>
      <c r="J280" s="3"/>
      <c r="K280" s="71"/>
      <c r="L280" s="53"/>
      <c r="M280" s="2"/>
      <c r="N280" s="1"/>
      <c r="O280" s="218">
        <f t="shared" si="4"/>
        <v>0</v>
      </c>
      <c r="P280" s="218">
        <f>O280+SEPT!P280</f>
        <v>0</v>
      </c>
      <c r="Q280" s="60"/>
      <c r="R280" s="52"/>
      <c r="S280" s="66"/>
      <c r="T280" s="65"/>
      <c r="U280" s="68"/>
      <c r="V280" s="75"/>
      <c r="W280" s="6">
        <f>'CLIENT ENROLLMENT DISCHARGE '!M280</f>
        <v>0</v>
      </c>
      <c r="X280" s="76">
        <f>'CLIENT ENROLLMENT DISCHARGE '!L280</f>
        <v>0</v>
      </c>
      <c r="Y280" s="180" t="s">
        <v>0</v>
      </c>
    </row>
    <row r="281" spans="1:25" ht="50.1" customHeight="1" x14ac:dyDescent="0.25">
      <c r="A281" s="5">
        <v>267</v>
      </c>
      <c r="B281" s="10">
        <f>'CLIENT ENROLLMENT DISCHARGE '!B281</f>
        <v>0</v>
      </c>
      <c r="C281" s="4">
        <f>'CLIENT ENROLLMENT DISCHARGE '!C281</f>
        <v>0</v>
      </c>
      <c r="D281" s="51"/>
      <c r="E281" s="52"/>
      <c r="F281" s="51"/>
      <c r="G281" s="52"/>
      <c r="H281" s="62"/>
      <c r="I281" s="115"/>
      <c r="J281" s="9"/>
      <c r="K281" s="70"/>
      <c r="L281" s="52"/>
      <c r="M281" s="8"/>
      <c r="N281" s="7"/>
      <c r="O281" s="218">
        <f t="shared" si="4"/>
        <v>0</v>
      </c>
      <c r="P281" s="218">
        <f>O281+SEPT!P281</f>
        <v>0</v>
      </c>
      <c r="Q281" s="59"/>
      <c r="R281" s="51"/>
      <c r="S281" s="65"/>
      <c r="T281" s="64"/>
      <c r="U281" s="67"/>
      <c r="V281" s="74"/>
      <c r="W281" s="6">
        <f>'CLIENT ENROLLMENT DISCHARGE '!M281</f>
        <v>0</v>
      </c>
      <c r="X281" s="76">
        <f>'CLIENT ENROLLMENT DISCHARGE '!L281</f>
        <v>0</v>
      </c>
      <c r="Y281" s="180" t="s">
        <v>0</v>
      </c>
    </row>
    <row r="282" spans="1:25" ht="50.1" customHeight="1" x14ac:dyDescent="0.25">
      <c r="A282" s="5">
        <v>268</v>
      </c>
      <c r="B282" s="10">
        <f>'CLIENT ENROLLMENT DISCHARGE '!B282</f>
        <v>0</v>
      </c>
      <c r="C282" s="4">
        <f>'CLIENT ENROLLMENT DISCHARGE '!C282</f>
        <v>0</v>
      </c>
      <c r="D282" s="52"/>
      <c r="E282" s="53"/>
      <c r="F282" s="52"/>
      <c r="G282" s="53"/>
      <c r="H282" s="63"/>
      <c r="I282" s="116"/>
      <c r="J282" s="3"/>
      <c r="K282" s="71"/>
      <c r="L282" s="53"/>
      <c r="M282" s="2"/>
      <c r="N282" s="1"/>
      <c r="O282" s="218">
        <f t="shared" si="4"/>
        <v>0</v>
      </c>
      <c r="P282" s="218">
        <f>O282+SEPT!P282</f>
        <v>0</v>
      </c>
      <c r="Q282" s="60"/>
      <c r="R282" s="52"/>
      <c r="S282" s="66"/>
      <c r="T282" s="65"/>
      <c r="U282" s="68"/>
      <c r="V282" s="59"/>
      <c r="W282" s="6">
        <f>'CLIENT ENROLLMENT DISCHARGE '!M282</f>
        <v>0</v>
      </c>
      <c r="X282" s="76">
        <f>'CLIENT ENROLLMENT DISCHARGE '!L282</f>
        <v>0</v>
      </c>
      <c r="Y282" s="180" t="s">
        <v>0</v>
      </c>
    </row>
    <row r="283" spans="1:25" ht="50.1" customHeight="1" x14ac:dyDescent="0.25">
      <c r="A283" s="5">
        <v>269</v>
      </c>
      <c r="B283" s="10">
        <f>'CLIENT ENROLLMENT DISCHARGE '!B283</f>
        <v>0</v>
      </c>
      <c r="C283" s="4">
        <f>'CLIENT ENROLLMENT DISCHARGE '!C283</f>
        <v>0</v>
      </c>
      <c r="D283" s="51"/>
      <c r="E283" s="52"/>
      <c r="F283" s="51"/>
      <c r="G283" s="52"/>
      <c r="H283" s="62"/>
      <c r="I283" s="115"/>
      <c r="J283" s="9"/>
      <c r="K283" s="70"/>
      <c r="L283" s="52"/>
      <c r="M283" s="8"/>
      <c r="N283" s="7"/>
      <c r="O283" s="218">
        <f t="shared" si="4"/>
        <v>0</v>
      </c>
      <c r="P283" s="218">
        <f>O283+SEPT!P283</f>
        <v>0</v>
      </c>
      <c r="Q283" s="59"/>
      <c r="R283" s="51"/>
      <c r="S283" s="65"/>
      <c r="T283" s="64"/>
      <c r="U283" s="67"/>
      <c r="V283" s="74"/>
      <c r="W283" s="6">
        <f>'CLIENT ENROLLMENT DISCHARGE '!M283</f>
        <v>0</v>
      </c>
      <c r="X283" s="76">
        <f>'CLIENT ENROLLMENT DISCHARGE '!L283</f>
        <v>0</v>
      </c>
      <c r="Y283" s="180" t="s">
        <v>0</v>
      </c>
    </row>
    <row r="284" spans="1:25" ht="50.1" customHeight="1" x14ac:dyDescent="0.25">
      <c r="A284" s="5">
        <v>270</v>
      </c>
      <c r="B284" s="10">
        <f>'CLIENT ENROLLMENT DISCHARGE '!B284</f>
        <v>0</v>
      </c>
      <c r="C284" s="4">
        <f>'CLIENT ENROLLMENT DISCHARGE '!C284</f>
        <v>0</v>
      </c>
      <c r="D284" s="52"/>
      <c r="E284" s="53"/>
      <c r="F284" s="52"/>
      <c r="G284" s="53"/>
      <c r="H284" s="63"/>
      <c r="I284" s="116"/>
      <c r="J284" s="3"/>
      <c r="K284" s="71"/>
      <c r="L284" s="53"/>
      <c r="M284" s="2"/>
      <c r="N284" s="1"/>
      <c r="O284" s="218">
        <f t="shared" si="4"/>
        <v>0</v>
      </c>
      <c r="P284" s="218">
        <f>O284+SEPT!P284</f>
        <v>0</v>
      </c>
      <c r="Q284" s="60"/>
      <c r="R284" s="52"/>
      <c r="S284" s="66"/>
      <c r="T284" s="65"/>
      <c r="U284" s="68"/>
      <c r="V284" s="59"/>
      <c r="W284" s="6">
        <f>'CLIENT ENROLLMENT DISCHARGE '!M284</f>
        <v>0</v>
      </c>
      <c r="X284" s="76">
        <f>'CLIENT ENROLLMENT DISCHARGE '!L284</f>
        <v>0</v>
      </c>
      <c r="Y284" s="180" t="s">
        <v>0</v>
      </c>
    </row>
    <row r="285" spans="1:25" ht="50.1" customHeight="1" x14ac:dyDescent="0.25">
      <c r="A285" s="5">
        <v>271</v>
      </c>
      <c r="B285" s="10">
        <f>'CLIENT ENROLLMENT DISCHARGE '!B285</f>
        <v>0</v>
      </c>
      <c r="C285" s="4">
        <f>'CLIENT ENROLLMENT DISCHARGE '!C285</f>
        <v>0</v>
      </c>
      <c r="D285" s="51"/>
      <c r="E285" s="52"/>
      <c r="F285" s="51"/>
      <c r="G285" s="52"/>
      <c r="H285" s="62"/>
      <c r="I285" s="115"/>
      <c r="J285" s="9"/>
      <c r="K285" s="70"/>
      <c r="L285" s="52"/>
      <c r="M285" s="8"/>
      <c r="N285" s="7"/>
      <c r="O285" s="218">
        <f t="shared" si="4"/>
        <v>0</v>
      </c>
      <c r="P285" s="218">
        <f>O285+SEPT!P285</f>
        <v>0</v>
      </c>
      <c r="Q285" s="59"/>
      <c r="R285" s="51"/>
      <c r="S285" s="65"/>
      <c r="T285" s="64"/>
      <c r="U285" s="67"/>
      <c r="V285" s="74"/>
      <c r="W285" s="6">
        <f>'CLIENT ENROLLMENT DISCHARGE '!M285</f>
        <v>0</v>
      </c>
      <c r="X285" s="76">
        <f>'CLIENT ENROLLMENT DISCHARGE '!L285</f>
        <v>0</v>
      </c>
      <c r="Y285" s="180" t="s">
        <v>0</v>
      </c>
    </row>
    <row r="286" spans="1:25" ht="50.1" customHeight="1" x14ac:dyDescent="0.25">
      <c r="A286" s="5">
        <v>272</v>
      </c>
      <c r="B286" s="10">
        <f>'CLIENT ENROLLMENT DISCHARGE '!B286</f>
        <v>0</v>
      </c>
      <c r="C286" s="4">
        <f>'CLIENT ENROLLMENT DISCHARGE '!C286</f>
        <v>0</v>
      </c>
      <c r="D286" s="52"/>
      <c r="E286" s="53"/>
      <c r="F286" s="52"/>
      <c r="G286" s="53"/>
      <c r="H286" s="63"/>
      <c r="I286" s="116"/>
      <c r="J286" s="3"/>
      <c r="K286" s="71"/>
      <c r="L286" s="53"/>
      <c r="M286" s="2"/>
      <c r="N286" s="1"/>
      <c r="O286" s="218">
        <f t="shared" si="4"/>
        <v>0</v>
      </c>
      <c r="P286" s="218">
        <f>O286+SEPT!P286</f>
        <v>0</v>
      </c>
      <c r="Q286" s="60"/>
      <c r="R286" s="52"/>
      <c r="S286" s="66"/>
      <c r="T286" s="65"/>
      <c r="U286" s="68"/>
      <c r="V286" s="59"/>
      <c r="W286" s="6">
        <f>'CLIENT ENROLLMENT DISCHARGE '!M286</f>
        <v>0</v>
      </c>
      <c r="X286" s="76">
        <f>'CLIENT ENROLLMENT DISCHARGE '!L286</f>
        <v>0</v>
      </c>
      <c r="Y286" s="180" t="s">
        <v>0</v>
      </c>
    </row>
    <row r="287" spans="1:25" ht="50.1" customHeight="1" x14ac:dyDescent="0.25">
      <c r="A287" s="5">
        <v>272</v>
      </c>
      <c r="B287" s="10">
        <f>'CLIENT ENROLLMENT DISCHARGE '!B287</f>
        <v>0</v>
      </c>
      <c r="C287" s="4">
        <f>'CLIENT ENROLLMENT DISCHARGE '!C287</f>
        <v>0</v>
      </c>
      <c r="D287" s="51"/>
      <c r="E287" s="52"/>
      <c r="F287" s="51"/>
      <c r="G287" s="52"/>
      <c r="H287" s="62"/>
      <c r="I287" s="115"/>
      <c r="J287" s="9"/>
      <c r="K287" s="70"/>
      <c r="L287" s="52"/>
      <c r="M287" s="8"/>
      <c r="N287" s="7"/>
      <c r="O287" s="218">
        <f t="shared" si="4"/>
        <v>0</v>
      </c>
      <c r="P287" s="218">
        <f>O287+SEPT!P287</f>
        <v>0</v>
      </c>
      <c r="Q287" s="59"/>
      <c r="R287" s="51"/>
      <c r="S287" s="65"/>
      <c r="T287" s="64"/>
      <c r="U287" s="67"/>
      <c r="V287" s="74"/>
      <c r="W287" s="6">
        <f>'CLIENT ENROLLMENT DISCHARGE '!M287</f>
        <v>0</v>
      </c>
      <c r="X287" s="76">
        <f>'CLIENT ENROLLMENT DISCHARGE '!L287</f>
        <v>0</v>
      </c>
      <c r="Y287" s="180" t="s">
        <v>0</v>
      </c>
    </row>
    <row r="288" spans="1:25" ht="50.1" customHeight="1" x14ac:dyDescent="0.25">
      <c r="A288" s="5">
        <v>274</v>
      </c>
      <c r="B288" s="10">
        <f>'CLIENT ENROLLMENT DISCHARGE '!B288</f>
        <v>0</v>
      </c>
      <c r="C288" s="4">
        <f>'CLIENT ENROLLMENT DISCHARGE '!C288</f>
        <v>0</v>
      </c>
      <c r="D288" s="52"/>
      <c r="E288" s="53"/>
      <c r="F288" s="52"/>
      <c r="G288" s="53"/>
      <c r="H288" s="63"/>
      <c r="I288" s="116"/>
      <c r="J288" s="3"/>
      <c r="K288" s="71"/>
      <c r="L288" s="53"/>
      <c r="M288" s="2"/>
      <c r="N288" s="1"/>
      <c r="O288" s="218">
        <f t="shared" si="4"/>
        <v>0</v>
      </c>
      <c r="P288" s="218">
        <f>O288+SEPT!P288</f>
        <v>0</v>
      </c>
      <c r="Q288" s="60"/>
      <c r="R288" s="52"/>
      <c r="S288" s="66"/>
      <c r="T288" s="65"/>
      <c r="U288" s="68"/>
      <c r="V288" s="59"/>
      <c r="W288" s="6">
        <f>'CLIENT ENROLLMENT DISCHARGE '!M288</f>
        <v>0</v>
      </c>
      <c r="X288" s="76">
        <f>'CLIENT ENROLLMENT DISCHARGE '!L288</f>
        <v>0</v>
      </c>
      <c r="Y288" s="180" t="s">
        <v>0</v>
      </c>
    </row>
    <row r="289" spans="1:25" ht="50.1" customHeight="1" x14ac:dyDescent="0.25">
      <c r="A289" s="5">
        <v>275</v>
      </c>
      <c r="B289" s="10">
        <f>'CLIENT ENROLLMENT DISCHARGE '!B289</f>
        <v>0</v>
      </c>
      <c r="C289" s="4">
        <f>'CLIENT ENROLLMENT DISCHARGE '!C289</f>
        <v>0</v>
      </c>
      <c r="D289" s="51"/>
      <c r="E289" s="52"/>
      <c r="F289" s="51"/>
      <c r="G289" s="52"/>
      <c r="H289" s="62"/>
      <c r="I289" s="115"/>
      <c r="J289" s="9"/>
      <c r="K289" s="70"/>
      <c r="L289" s="52"/>
      <c r="M289" s="8"/>
      <c r="N289" s="7"/>
      <c r="O289" s="218">
        <f t="shared" si="4"/>
        <v>0</v>
      </c>
      <c r="P289" s="218">
        <f>O289+SEPT!P289</f>
        <v>0</v>
      </c>
      <c r="Q289" s="59"/>
      <c r="R289" s="51"/>
      <c r="S289" s="65"/>
      <c r="T289" s="64"/>
      <c r="U289" s="67"/>
      <c r="V289" s="74"/>
      <c r="W289" s="6">
        <f>'CLIENT ENROLLMENT DISCHARGE '!M289</f>
        <v>0</v>
      </c>
      <c r="X289" s="76">
        <f>'CLIENT ENROLLMENT DISCHARGE '!L289</f>
        <v>0</v>
      </c>
      <c r="Y289" s="180" t="s">
        <v>0</v>
      </c>
    </row>
    <row r="290" spans="1:25" ht="50.1" customHeight="1" x14ac:dyDescent="0.25">
      <c r="A290" s="5">
        <v>276</v>
      </c>
      <c r="B290" s="10">
        <f>'CLIENT ENROLLMENT DISCHARGE '!B290</f>
        <v>0</v>
      </c>
      <c r="C290" s="4">
        <f>'CLIENT ENROLLMENT DISCHARGE '!C290</f>
        <v>0</v>
      </c>
      <c r="D290" s="52"/>
      <c r="E290" s="53"/>
      <c r="F290" s="52"/>
      <c r="G290" s="53"/>
      <c r="H290" s="63"/>
      <c r="I290" s="116"/>
      <c r="J290" s="3"/>
      <c r="K290" s="71"/>
      <c r="L290" s="53"/>
      <c r="M290" s="2"/>
      <c r="N290" s="1"/>
      <c r="O290" s="218">
        <f t="shared" si="4"/>
        <v>0</v>
      </c>
      <c r="P290" s="218">
        <f>O290+SEPT!P290</f>
        <v>0</v>
      </c>
      <c r="Q290" s="60"/>
      <c r="R290" s="52"/>
      <c r="S290" s="66"/>
      <c r="T290" s="65"/>
      <c r="U290" s="68"/>
      <c r="V290" s="75"/>
      <c r="W290" s="6">
        <f>'CLIENT ENROLLMENT DISCHARGE '!M290</f>
        <v>0</v>
      </c>
      <c r="X290" s="76">
        <f>'CLIENT ENROLLMENT DISCHARGE '!L290</f>
        <v>0</v>
      </c>
      <c r="Y290" s="180" t="s">
        <v>0</v>
      </c>
    </row>
    <row r="291" spans="1:25" ht="50.1" customHeight="1" x14ac:dyDescent="0.25">
      <c r="A291" s="5">
        <v>277</v>
      </c>
      <c r="B291" s="10">
        <f>'CLIENT ENROLLMENT DISCHARGE '!B291</f>
        <v>0</v>
      </c>
      <c r="C291" s="4">
        <f>'CLIENT ENROLLMENT DISCHARGE '!C291</f>
        <v>0</v>
      </c>
      <c r="D291" s="51"/>
      <c r="E291" s="52"/>
      <c r="F291" s="51"/>
      <c r="G291" s="52"/>
      <c r="H291" s="62"/>
      <c r="I291" s="115"/>
      <c r="J291" s="9"/>
      <c r="K291" s="70"/>
      <c r="L291" s="52"/>
      <c r="M291" s="8"/>
      <c r="N291" s="7"/>
      <c r="O291" s="218">
        <f t="shared" si="4"/>
        <v>0</v>
      </c>
      <c r="P291" s="218">
        <f>O291+SEPT!P291</f>
        <v>0</v>
      </c>
      <c r="Q291" s="59"/>
      <c r="R291" s="51"/>
      <c r="S291" s="65"/>
      <c r="T291" s="64"/>
      <c r="U291" s="67"/>
      <c r="V291" s="74"/>
      <c r="W291" s="6">
        <f>'CLIENT ENROLLMENT DISCHARGE '!M291</f>
        <v>0</v>
      </c>
      <c r="X291" s="76">
        <f>'CLIENT ENROLLMENT DISCHARGE '!L291</f>
        <v>0</v>
      </c>
      <c r="Y291" s="180" t="s">
        <v>0</v>
      </c>
    </row>
    <row r="292" spans="1:25" ht="50.1" customHeight="1" x14ac:dyDescent="0.25">
      <c r="A292" s="5">
        <v>278</v>
      </c>
      <c r="B292" s="10">
        <f>'CLIENT ENROLLMENT DISCHARGE '!B292</f>
        <v>0</v>
      </c>
      <c r="C292" s="4">
        <f>'CLIENT ENROLLMENT DISCHARGE '!C292</f>
        <v>0</v>
      </c>
      <c r="D292" s="52"/>
      <c r="E292" s="53"/>
      <c r="F292" s="52"/>
      <c r="G292" s="53"/>
      <c r="H292" s="63"/>
      <c r="I292" s="116"/>
      <c r="J292" s="3"/>
      <c r="K292" s="71"/>
      <c r="L292" s="53"/>
      <c r="M292" s="2"/>
      <c r="N292" s="1"/>
      <c r="O292" s="218">
        <f t="shared" si="4"/>
        <v>0</v>
      </c>
      <c r="P292" s="218">
        <f>O292+SEPT!P292</f>
        <v>0</v>
      </c>
      <c r="Q292" s="60"/>
      <c r="R292" s="52"/>
      <c r="S292" s="66"/>
      <c r="T292" s="65"/>
      <c r="U292" s="68"/>
      <c r="V292" s="59"/>
      <c r="W292" s="6">
        <f>'CLIENT ENROLLMENT DISCHARGE '!M292</f>
        <v>0</v>
      </c>
      <c r="X292" s="76">
        <f>'CLIENT ENROLLMENT DISCHARGE '!L292</f>
        <v>0</v>
      </c>
      <c r="Y292" s="180" t="s">
        <v>0</v>
      </c>
    </row>
    <row r="293" spans="1:25" ht="50.1" customHeight="1" x14ac:dyDescent="0.25">
      <c r="A293" s="5">
        <v>279</v>
      </c>
      <c r="B293" s="10">
        <f>'CLIENT ENROLLMENT DISCHARGE '!B293</f>
        <v>0</v>
      </c>
      <c r="C293" s="4">
        <f>'CLIENT ENROLLMENT DISCHARGE '!C293</f>
        <v>0</v>
      </c>
      <c r="D293" s="51"/>
      <c r="E293" s="52"/>
      <c r="F293" s="51"/>
      <c r="G293" s="52"/>
      <c r="H293" s="62"/>
      <c r="I293" s="115"/>
      <c r="J293" s="9"/>
      <c r="K293" s="70"/>
      <c r="L293" s="52"/>
      <c r="M293" s="8"/>
      <c r="N293" s="7"/>
      <c r="O293" s="218">
        <f t="shared" si="4"/>
        <v>0</v>
      </c>
      <c r="P293" s="218">
        <f>O293+SEPT!P293</f>
        <v>0</v>
      </c>
      <c r="Q293" s="59"/>
      <c r="R293" s="51"/>
      <c r="S293" s="65"/>
      <c r="T293" s="64"/>
      <c r="U293" s="67"/>
      <c r="V293" s="74"/>
      <c r="W293" s="6">
        <f>'CLIENT ENROLLMENT DISCHARGE '!M293</f>
        <v>0</v>
      </c>
      <c r="X293" s="76">
        <f>'CLIENT ENROLLMENT DISCHARGE '!L293</f>
        <v>0</v>
      </c>
      <c r="Y293" s="180" t="s">
        <v>0</v>
      </c>
    </row>
    <row r="294" spans="1:25" ht="50.1" customHeight="1" x14ac:dyDescent="0.25">
      <c r="A294" s="5">
        <v>280</v>
      </c>
      <c r="B294" s="10">
        <f>'CLIENT ENROLLMENT DISCHARGE '!B294</f>
        <v>0</v>
      </c>
      <c r="C294" s="4">
        <f>'CLIENT ENROLLMENT DISCHARGE '!C294</f>
        <v>0</v>
      </c>
      <c r="D294" s="52"/>
      <c r="E294" s="53"/>
      <c r="F294" s="52"/>
      <c r="G294" s="53"/>
      <c r="H294" s="63"/>
      <c r="I294" s="116"/>
      <c r="J294" s="3"/>
      <c r="K294" s="71"/>
      <c r="L294" s="53"/>
      <c r="M294" s="2"/>
      <c r="N294" s="1"/>
      <c r="O294" s="218">
        <f t="shared" si="4"/>
        <v>0</v>
      </c>
      <c r="P294" s="218">
        <f>O294+SEPT!P294</f>
        <v>0</v>
      </c>
      <c r="Q294" s="60"/>
      <c r="R294" s="52"/>
      <c r="S294" s="66"/>
      <c r="T294" s="65"/>
      <c r="U294" s="68"/>
      <c r="V294" s="59"/>
      <c r="W294" s="6">
        <f>'CLIENT ENROLLMENT DISCHARGE '!M294</f>
        <v>0</v>
      </c>
      <c r="X294" s="76">
        <f>'CLIENT ENROLLMENT DISCHARGE '!L294</f>
        <v>0</v>
      </c>
      <c r="Y294" s="180" t="s">
        <v>0</v>
      </c>
    </row>
    <row r="295" spans="1:25" ht="50.1" customHeight="1" x14ac:dyDescent="0.25">
      <c r="A295" s="5">
        <v>281</v>
      </c>
      <c r="B295" s="10">
        <f>'CLIENT ENROLLMENT DISCHARGE '!B295</f>
        <v>0</v>
      </c>
      <c r="C295" s="4">
        <f>'CLIENT ENROLLMENT DISCHARGE '!C295</f>
        <v>0</v>
      </c>
      <c r="D295" s="51"/>
      <c r="E295" s="52"/>
      <c r="F295" s="51"/>
      <c r="G295" s="52"/>
      <c r="H295" s="62"/>
      <c r="I295" s="115"/>
      <c r="J295" s="9"/>
      <c r="K295" s="70"/>
      <c r="L295" s="52"/>
      <c r="M295" s="8"/>
      <c r="N295" s="7"/>
      <c r="O295" s="218">
        <f t="shared" si="4"/>
        <v>0</v>
      </c>
      <c r="P295" s="218">
        <f>O295+SEPT!P295</f>
        <v>0</v>
      </c>
      <c r="Q295" s="59"/>
      <c r="R295" s="51"/>
      <c r="S295" s="65"/>
      <c r="T295" s="64"/>
      <c r="U295" s="67"/>
      <c r="V295" s="74"/>
      <c r="W295" s="6">
        <f>'CLIENT ENROLLMENT DISCHARGE '!M295</f>
        <v>0</v>
      </c>
      <c r="X295" s="76">
        <f>'CLIENT ENROLLMENT DISCHARGE '!L295</f>
        <v>0</v>
      </c>
      <c r="Y295" s="180" t="s">
        <v>0</v>
      </c>
    </row>
    <row r="296" spans="1:25" ht="50.1" customHeight="1" x14ac:dyDescent="0.25">
      <c r="A296" s="5">
        <v>282</v>
      </c>
      <c r="B296" s="10">
        <f>'CLIENT ENROLLMENT DISCHARGE '!B296</f>
        <v>0</v>
      </c>
      <c r="C296" s="4">
        <f>'CLIENT ENROLLMENT DISCHARGE '!C296</f>
        <v>0</v>
      </c>
      <c r="D296" s="52"/>
      <c r="E296" s="53"/>
      <c r="F296" s="52"/>
      <c r="G296" s="53"/>
      <c r="H296" s="63"/>
      <c r="I296" s="116"/>
      <c r="J296" s="3"/>
      <c r="K296" s="71"/>
      <c r="L296" s="53"/>
      <c r="M296" s="2"/>
      <c r="N296" s="1"/>
      <c r="O296" s="218">
        <f t="shared" si="4"/>
        <v>0</v>
      </c>
      <c r="P296" s="218">
        <f>O296+SEPT!P296</f>
        <v>0</v>
      </c>
      <c r="Q296" s="60"/>
      <c r="R296" s="52"/>
      <c r="S296" s="66"/>
      <c r="T296" s="65"/>
      <c r="U296" s="68"/>
      <c r="V296" s="59"/>
      <c r="W296" s="6">
        <f>'CLIENT ENROLLMENT DISCHARGE '!M296</f>
        <v>0</v>
      </c>
      <c r="X296" s="76">
        <f>'CLIENT ENROLLMENT DISCHARGE '!L296</f>
        <v>0</v>
      </c>
      <c r="Y296" s="180" t="s">
        <v>0</v>
      </c>
    </row>
    <row r="297" spans="1:25" ht="50.1" customHeight="1" x14ac:dyDescent="0.25">
      <c r="A297" s="5">
        <v>283</v>
      </c>
      <c r="B297" s="10">
        <f>'CLIENT ENROLLMENT DISCHARGE '!B297</f>
        <v>0</v>
      </c>
      <c r="C297" s="4">
        <f>'CLIENT ENROLLMENT DISCHARGE '!C297</f>
        <v>0</v>
      </c>
      <c r="D297" s="51"/>
      <c r="E297" s="52"/>
      <c r="F297" s="51"/>
      <c r="G297" s="52"/>
      <c r="H297" s="62"/>
      <c r="I297" s="115"/>
      <c r="J297" s="9"/>
      <c r="K297" s="70"/>
      <c r="L297" s="52"/>
      <c r="M297" s="8"/>
      <c r="N297" s="7"/>
      <c r="O297" s="218">
        <f t="shared" si="4"/>
        <v>0</v>
      </c>
      <c r="P297" s="218">
        <f>O297+SEPT!P297</f>
        <v>0</v>
      </c>
      <c r="Q297" s="59"/>
      <c r="R297" s="51"/>
      <c r="S297" s="65"/>
      <c r="T297" s="64"/>
      <c r="U297" s="67"/>
      <c r="V297" s="74"/>
      <c r="W297" s="6">
        <f>'CLIENT ENROLLMENT DISCHARGE '!M297</f>
        <v>0</v>
      </c>
      <c r="X297" s="76">
        <f>'CLIENT ENROLLMENT DISCHARGE '!L297</f>
        <v>0</v>
      </c>
      <c r="Y297" s="180" t="s">
        <v>0</v>
      </c>
    </row>
    <row r="298" spans="1:25" ht="50.1" customHeight="1" x14ac:dyDescent="0.25">
      <c r="A298" s="5">
        <v>284</v>
      </c>
      <c r="B298" s="10">
        <f>'CLIENT ENROLLMENT DISCHARGE '!B298</f>
        <v>0</v>
      </c>
      <c r="C298" s="4">
        <f>'CLIENT ENROLLMENT DISCHARGE '!C298</f>
        <v>0</v>
      </c>
      <c r="D298" s="52"/>
      <c r="E298" s="53"/>
      <c r="F298" s="52"/>
      <c r="G298" s="53"/>
      <c r="H298" s="63"/>
      <c r="I298" s="116"/>
      <c r="J298" s="3"/>
      <c r="K298" s="71"/>
      <c r="L298" s="53"/>
      <c r="M298" s="2"/>
      <c r="N298" s="1"/>
      <c r="O298" s="218">
        <f t="shared" si="4"/>
        <v>0</v>
      </c>
      <c r="P298" s="218">
        <f>O298+SEPT!P298</f>
        <v>0</v>
      </c>
      <c r="Q298" s="60"/>
      <c r="R298" s="52"/>
      <c r="S298" s="66"/>
      <c r="T298" s="65"/>
      <c r="U298" s="68"/>
      <c r="V298" s="59"/>
      <c r="W298" s="6">
        <f>'CLIENT ENROLLMENT DISCHARGE '!M298</f>
        <v>0</v>
      </c>
      <c r="X298" s="76">
        <f>'CLIENT ENROLLMENT DISCHARGE '!L298</f>
        <v>0</v>
      </c>
      <c r="Y298" s="180" t="s">
        <v>0</v>
      </c>
    </row>
    <row r="299" spans="1:25" ht="50.1" customHeight="1" x14ac:dyDescent="0.25">
      <c r="A299" s="5">
        <v>285</v>
      </c>
      <c r="B299" s="10">
        <f>'CLIENT ENROLLMENT DISCHARGE '!B299</f>
        <v>0</v>
      </c>
      <c r="C299" s="4">
        <f>'CLIENT ENROLLMENT DISCHARGE '!C299</f>
        <v>0</v>
      </c>
      <c r="D299" s="51"/>
      <c r="E299" s="52"/>
      <c r="F299" s="51"/>
      <c r="G299" s="52"/>
      <c r="H299" s="62"/>
      <c r="I299" s="115"/>
      <c r="J299" s="9"/>
      <c r="K299" s="70"/>
      <c r="L299" s="52"/>
      <c r="M299" s="8"/>
      <c r="N299" s="7"/>
      <c r="O299" s="218">
        <f t="shared" si="4"/>
        <v>0</v>
      </c>
      <c r="P299" s="218">
        <f>O299+SEPT!P299</f>
        <v>0</v>
      </c>
      <c r="Q299" s="59"/>
      <c r="R299" s="51"/>
      <c r="S299" s="65"/>
      <c r="T299" s="64"/>
      <c r="U299" s="67"/>
      <c r="V299" s="74"/>
      <c r="W299" s="6">
        <f>'CLIENT ENROLLMENT DISCHARGE '!M299</f>
        <v>0</v>
      </c>
      <c r="X299" s="76">
        <f>'CLIENT ENROLLMENT DISCHARGE '!L299</f>
        <v>0</v>
      </c>
      <c r="Y299" s="180" t="s">
        <v>0</v>
      </c>
    </row>
    <row r="300" spans="1:25" ht="50.1" customHeight="1" x14ac:dyDescent="0.25">
      <c r="A300" s="5">
        <v>286</v>
      </c>
      <c r="B300" s="10">
        <f>'CLIENT ENROLLMENT DISCHARGE '!B300</f>
        <v>0</v>
      </c>
      <c r="C300" s="4">
        <f>'CLIENT ENROLLMENT DISCHARGE '!C300</f>
        <v>0</v>
      </c>
      <c r="D300" s="52"/>
      <c r="E300" s="53"/>
      <c r="F300" s="52"/>
      <c r="G300" s="53"/>
      <c r="H300" s="63"/>
      <c r="I300" s="116"/>
      <c r="J300" s="3"/>
      <c r="K300" s="71"/>
      <c r="L300" s="53"/>
      <c r="M300" s="2"/>
      <c r="N300" s="1"/>
      <c r="O300" s="218">
        <f t="shared" si="4"/>
        <v>0</v>
      </c>
      <c r="P300" s="218">
        <f>O300+SEPT!P300</f>
        <v>0</v>
      </c>
      <c r="Q300" s="60"/>
      <c r="R300" s="52"/>
      <c r="S300" s="66"/>
      <c r="T300" s="65"/>
      <c r="U300" s="68"/>
      <c r="V300" s="75"/>
      <c r="W300" s="6">
        <f>'CLIENT ENROLLMENT DISCHARGE '!M300</f>
        <v>0</v>
      </c>
      <c r="X300" s="76">
        <f>'CLIENT ENROLLMENT DISCHARGE '!L300</f>
        <v>0</v>
      </c>
      <c r="Y300" s="180" t="s">
        <v>0</v>
      </c>
    </row>
    <row r="301" spans="1:25" ht="50.1" customHeight="1" x14ac:dyDescent="0.25">
      <c r="A301" s="5">
        <v>287</v>
      </c>
      <c r="B301" s="10">
        <f>'CLIENT ENROLLMENT DISCHARGE '!B301</f>
        <v>0</v>
      </c>
      <c r="C301" s="4">
        <f>'CLIENT ENROLLMENT DISCHARGE '!C301</f>
        <v>0</v>
      </c>
      <c r="D301" s="51"/>
      <c r="E301" s="52"/>
      <c r="F301" s="51"/>
      <c r="G301" s="52"/>
      <c r="H301" s="62"/>
      <c r="I301" s="115"/>
      <c r="J301" s="9"/>
      <c r="K301" s="70"/>
      <c r="L301" s="52"/>
      <c r="M301" s="8"/>
      <c r="N301" s="7"/>
      <c r="O301" s="218">
        <f t="shared" si="4"/>
        <v>0</v>
      </c>
      <c r="P301" s="218">
        <f>O301+SEPT!P301</f>
        <v>0</v>
      </c>
      <c r="Q301" s="59"/>
      <c r="R301" s="51"/>
      <c r="S301" s="65"/>
      <c r="T301" s="64"/>
      <c r="U301" s="67"/>
      <c r="V301" s="74"/>
      <c r="W301" s="6">
        <f>'CLIENT ENROLLMENT DISCHARGE '!M301</f>
        <v>0</v>
      </c>
      <c r="X301" s="76">
        <f>'CLIENT ENROLLMENT DISCHARGE '!L301</f>
        <v>0</v>
      </c>
      <c r="Y301" s="180" t="s">
        <v>0</v>
      </c>
    </row>
    <row r="302" spans="1:25" ht="50.1" customHeight="1" x14ac:dyDescent="0.25">
      <c r="A302" s="5">
        <v>288</v>
      </c>
      <c r="B302" s="10">
        <f>'CLIENT ENROLLMENT DISCHARGE '!B302</f>
        <v>0</v>
      </c>
      <c r="C302" s="4">
        <f>'CLIENT ENROLLMENT DISCHARGE '!C302</f>
        <v>0</v>
      </c>
      <c r="D302" s="52"/>
      <c r="E302" s="53"/>
      <c r="F302" s="52"/>
      <c r="G302" s="53"/>
      <c r="H302" s="63"/>
      <c r="I302" s="116"/>
      <c r="J302" s="3"/>
      <c r="K302" s="71"/>
      <c r="L302" s="53"/>
      <c r="M302" s="2"/>
      <c r="N302" s="1"/>
      <c r="O302" s="218">
        <f t="shared" si="4"/>
        <v>0</v>
      </c>
      <c r="P302" s="218">
        <f>O302+SEPT!P302</f>
        <v>0</v>
      </c>
      <c r="Q302" s="60"/>
      <c r="R302" s="52"/>
      <c r="S302" s="66"/>
      <c r="T302" s="65"/>
      <c r="U302" s="68"/>
      <c r="V302" s="59"/>
      <c r="W302" s="6">
        <f>'CLIENT ENROLLMENT DISCHARGE '!M302</f>
        <v>0</v>
      </c>
      <c r="X302" s="76">
        <f>'CLIENT ENROLLMENT DISCHARGE '!L302</f>
        <v>0</v>
      </c>
      <c r="Y302" s="180" t="s">
        <v>0</v>
      </c>
    </row>
    <row r="303" spans="1:25" ht="50.1" customHeight="1" x14ac:dyDescent="0.25">
      <c r="A303" s="5">
        <v>289</v>
      </c>
      <c r="B303" s="10">
        <f>'CLIENT ENROLLMENT DISCHARGE '!B303</f>
        <v>0</v>
      </c>
      <c r="C303" s="4">
        <f>'CLIENT ENROLLMENT DISCHARGE '!C303</f>
        <v>0</v>
      </c>
      <c r="D303" s="51"/>
      <c r="E303" s="52"/>
      <c r="F303" s="51"/>
      <c r="G303" s="52"/>
      <c r="H303" s="62"/>
      <c r="I303" s="115"/>
      <c r="J303" s="9"/>
      <c r="K303" s="70"/>
      <c r="L303" s="52"/>
      <c r="M303" s="8"/>
      <c r="N303" s="7"/>
      <c r="O303" s="218">
        <f t="shared" si="4"/>
        <v>0</v>
      </c>
      <c r="P303" s="218">
        <f>O303+SEPT!P303</f>
        <v>0</v>
      </c>
      <c r="Q303" s="59"/>
      <c r="R303" s="51"/>
      <c r="S303" s="65"/>
      <c r="T303" s="64"/>
      <c r="U303" s="67"/>
      <c r="V303" s="74"/>
      <c r="W303" s="6">
        <f>'CLIENT ENROLLMENT DISCHARGE '!M303</f>
        <v>0</v>
      </c>
      <c r="X303" s="76">
        <f>'CLIENT ENROLLMENT DISCHARGE '!L303</f>
        <v>0</v>
      </c>
      <c r="Y303" s="180" t="s">
        <v>0</v>
      </c>
    </row>
    <row r="304" spans="1:25" ht="50.1" customHeight="1" x14ac:dyDescent="0.25">
      <c r="A304" s="5">
        <v>290</v>
      </c>
      <c r="B304" s="10">
        <f>'CLIENT ENROLLMENT DISCHARGE '!B304</f>
        <v>0</v>
      </c>
      <c r="C304" s="4">
        <f>'CLIENT ENROLLMENT DISCHARGE '!C304</f>
        <v>0</v>
      </c>
      <c r="D304" s="52"/>
      <c r="E304" s="53"/>
      <c r="F304" s="52"/>
      <c r="G304" s="53"/>
      <c r="H304" s="63"/>
      <c r="I304" s="116"/>
      <c r="J304" s="3"/>
      <c r="K304" s="71"/>
      <c r="L304" s="53"/>
      <c r="M304" s="2"/>
      <c r="N304" s="1"/>
      <c r="O304" s="218">
        <f t="shared" si="4"/>
        <v>0</v>
      </c>
      <c r="P304" s="218">
        <f>O304+SEPT!P304</f>
        <v>0</v>
      </c>
      <c r="Q304" s="60"/>
      <c r="R304" s="52"/>
      <c r="S304" s="66"/>
      <c r="T304" s="65"/>
      <c r="U304" s="68"/>
      <c r="V304" s="59"/>
      <c r="W304" s="6">
        <f>'CLIENT ENROLLMENT DISCHARGE '!M304</f>
        <v>0</v>
      </c>
      <c r="X304" s="76">
        <f>'CLIENT ENROLLMENT DISCHARGE '!L304</f>
        <v>0</v>
      </c>
      <c r="Y304" s="180" t="s">
        <v>0</v>
      </c>
    </row>
    <row r="305" spans="1:25" ht="50.1" customHeight="1" x14ac:dyDescent="0.25">
      <c r="A305" s="5">
        <v>291</v>
      </c>
      <c r="B305" s="10">
        <f>'CLIENT ENROLLMENT DISCHARGE '!B305</f>
        <v>0</v>
      </c>
      <c r="C305" s="4">
        <f>'CLIENT ENROLLMENT DISCHARGE '!C305</f>
        <v>0</v>
      </c>
      <c r="D305" s="51"/>
      <c r="E305" s="52"/>
      <c r="F305" s="51"/>
      <c r="G305" s="52"/>
      <c r="H305" s="62"/>
      <c r="I305" s="115"/>
      <c r="J305" s="9"/>
      <c r="K305" s="70"/>
      <c r="L305" s="52"/>
      <c r="M305" s="8"/>
      <c r="N305" s="7"/>
      <c r="O305" s="218">
        <f t="shared" si="4"/>
        <v>0</v>
      </c>
      <c r="P305" s="218">
        <f>O305+SEPT!P305</f>
        <v>0</v>
      </c>
      <c r="Q305" s="59"/>
      <c r="R305" s="51"/>
      <c r="S305" s="65"/>
      <c r="T305" s="64"/>
      <c r="U305" s="67"/>
      <c r="V305" s="74"/>
      <c r="W305" s="6">
        <f>'CLIENT ENROLLMENT DISCHARGE '!M305</f>
        <v>0</v>
      </c>
      <c r="X305" s="76">
        <f>'CLIENT ENROLLMENT DISCHARGE '!L305</f>
        <v>0</v>
      </c>
      <c r="Y305" s="180" t="s">
        <v>0</v>
      </c>
    </row>
    <row r="306" spans="1:25" ht="50.1" customHeight="1" x14ac:dyDescent="0.25">
      <c r="A306" s="5">
        <v>292</v>
      </c>
      <c r="B306" s="10">
        <f>'CLIENT ENROLLMENT DISCHARGE '!B306</f>
        <v>0</v>
      </c>
      <c r="C306" s="4">
        <f>'CLIENT ENROLLMENT DISCHARGE '!C306</f>
        <v>0</v>
      </c>
      <c r="D306" s="52"/>
      <c r="E306" s="53"/>
      <c r="F306" s="52"/>
      <c r="G306" s="53"/>
      <c r="H306" s="63"/>
      <c r="I306" s="116"/>
      <c r="J306" s="3"/>
      <c r="K306" s="71"/>
      <c r="L306" s="53"/>
      <c r="M306" s="2"/>
      <c r="N306" s="1"/>
      <c r="O306" s="218">
        <f t="shared" si="4"/>
        <v>0</v>
      </c>
      <c r="P306" s="218">
        <f>O306+SEPT!P306</f>
        <v>0</v>
      </c>
      <c r="Q306" s="60"/>
      <c r="R306" s="52"/>
      <c r="S306" s="66"/>
      <c r="T306" s="65"/>
      <c r="U306" s="68"/>
      <c r="V306" s="59"/>
      <c r="W306" s="6">
        <f>'CLIENT ENROLLMENT DISCHARGE '!M306</f>
        <v>0</v>
      </c>
      <c r="X306" s="76">
        <f>'CLIENT ENROLLMENT DISCHARGE '!L306</f>
        <v>0</v>
      </c>
      <c r="Y306" s="180" t="s">
        <v>0</v>
      </c>
    </row>
    <row r="307" spans="1:25" ht="50.1" customHeight="1" x14ac:dyDescent="0.25">
      <c r="A307" s="5">
        <v>293</v>
      </c>
      <c r="B307" s="10">
        <f>'CLIENT ENROLLMENT DISCHARGE '!B307</f>
        <v>0</v>
      </c>
      <c r="C307" s="4">
        <f>'CLIENT ENROLLMENT DISCHARGE '!C307</f>
        <v>0</v>
      </c>
      <c r="D307" s="51"/>
      <c r="E307" s="52"/>
      <c r="F307" s="51"/>
      <c r="G307" s="52"/>
      <c r="H307" s="62"/>
      <c r="I307" s="115"/>
      <c r="J307" s="9"/>
      <c r="K307" s="70"/>
      <c r="L307" s="52"/>
      <c r="M307" s="8"/>
      <c r="N307" s="7"/>
      <c r="O307" s="218">
        <f t="shared" si="4"/>
        <v>0</v>
      </c>
      <c r="P307" s="218">
        <f>O307+SEPT!P307</f>
        <v>0</v>
      </c>
      <c r="Q307" s="59"/>
      <c r="R307" s="51"/>
      <c r="S307" s="65"/>
      <c r="T307" s="64"/>
      <c r="U307" s="67"/>
      <c r="V307" s="74"/>
      <c r="W307" s="6">
        <f>'CLIENT ENROLLMENT DISCHARGE '!M307</f>
        <v>0</v>
      </c>
      <c r="X307" s="76">
        <f>'CLIENT ENROLLMENT DISCHARGE '!L307</f>
        <v>0</v>
      </c>
      <c r="Y307" s="180" t="s">
        <v>0</v>
      </c>
    </row>
    <row r="308" spans="1:25" ht="50.1" customHeight="1" x14ac:dyDescent="0.25">
      <c r="A308" s="5">
        <v>294</v>
      </c>
      <c r="B308" s="10">
        <f>'CLIENT ENROLLMENT DISCHARGE '!B308</f>
        <v>0</v>
      </c>
      <c r="C308" s="4">
        <f>'CLIENT ENROLLMENT DISCHARGE '!C308</f>
        <v>0</v>
      </c>
      <c r="D308" s="52"/>
      <c r="E308" s="53"/>
      <c r="F308" s="52"/>
      <c r="G308" s="53"/>
      <c r="H308" s="63"/>
      <c r="I308" s="116"/>
      <c r="J308" s="3"/>
      <c r="K308" s="71"/>
      <c r="L308" s="53"/>
      <c r="M308" s="2"/>
      <c r="N308" s="1"/>
      <c r="O308" s="218">
        <f t="shared" si="4"/>
        <v>0</v>
      </c>
      <c r="P308" s="218">
        <f>O308+SEPT!P308</f>
        <v>0</v>
      </c>
      <c r="Q308" s="60"/>
      <c r="R308" s="52"/>
      <c r="S308" s="66"/>
      <c r="T308" s="65"/>
      <c r="U308" s="68"/>
      <c r="V308" s="59"/>
      <c r="W308" s="6">
        <f>'CLIENT ENROLLMENT DISCHARGE '!M308</f>
        <v>0</v>
      </c>
      <c r="X308" s="76">
        <f>'CLIENT ENROLLMENT DISCHARGE '!L308</f>
        <v>0</v>
      </c>
      <c r="Y308" s="180" t="s">
        <v>0</v>
      </c>
    </row>
    <row r="309" spans="1:25" ht="50.1" customHeight="1" x14ac:dyDescent="0.25">
      <c r="A309" s="5">
        <v>295</v>
      </c>
      <c r="B309" s="10">
        <f>'CLIENT ENROLLMENT DISCHARGE '!B309</f>
        <v>0</v>
      </c>
      <c r="C309" s="4">
        <f>'CLIENT ENROLLMENT DISCHARGE '!C309</f>
        <v>0</v>
      </c>
      <c r="D309" s="51"/>
      <c r="E309" s="52"/>
      <c r="F309" s="51"/>
      <c r="G309" s="52"/>
      <c r="H309" s="62"/>
      <c r="I309" s="115"/>
      <c r="J309" s="9"/>
      <c r="K309" s="70"/>
      <c r="L309" s="52"/>
      <c r="M309" s="8"/>
      <c r="N309" s="7"/>
      <c r="O309" s="218">
        <f t="shared" si="4"/>
        <v>0</v>
      </c>
      <c r="P309" s="218">
        <f>O309+SEPT!P309</f>
        <v>0</v>
      </c>
      <c r="Q309" s="59"/>
      <c r="R309" s="51"/>
      <c r="S309" s="65"/>
      <c r="T309" s="64"/>
      <c r="U309" s="67"/>
      <c r="V309" s="74"/>
      <c r="W309" s="6">
        <f>'CLIENT ENROLLMENT DISCHARGE '!M309</f>
        <v>0</v>
      </c>
      <c r="X309" s="76">
        <f>'CLIENT ENROLLMENT DISCHARGE '!L309</f>
        <v>0</v>
      </c>
      <c r="Y309" s="180" t="s">
        <v>0</v>
      </c>
    </row>
    <row r="310" spans="1:25" ht="50.1" customHeight="1" x14ac:dyDescent="0.25">
      <c r="A310" s="5">
        <v>296</v>
      </c>
      <c r="B310" s="10">
        <f>'CLIENT ENROLLMENT DISCHARGE '!B310</f>
        <v>0</v>
      </c>
      <c r="C310" s="4">
        <f>'CLIENT ENROLLMENT DISCHARGE '!C310</f>
        <v>0</v>
      </c>
      <c r="D310" s="52"/>
      <c r="E310" s="53"/>
      <c r="F310" s="52"/>
      <c r="G310" s="53"/>
      <c r="H310" s="63"/>
      <c r="I310" s="116"/>
      <c r="J310" s="3"/>
      <c r="K310" s="71"/>
      <c r="L310" s="53"/>
      <c r="M310" s="2"/>
      <c r="N310" s="1"/>
      <c r="O310" s="218">
        <f t="shared" si="4"/>
        <v>0</v>
      </c>
      <c r="P310" s="218">
        <f>O310+SEPT!P310</f>
        <v>0</v>
      </c>
      <c r="Q310" s="60"/>
      <c r="R310" s="52"/>
      <c r="S310" s="66"/>
      <c r="T310" s="65"/>
      <c r="U310" s="68"/>
      <c r="V310" s="75"/>
      <c r="W310" s="6">
        <f>'CLIENT ENROLLMENT DISCHARGE '!M310</f>
        <v>0</v>
      </c>
      <c r="X310" s="76">
        <f>'CLIENT ENROLLMENT DISCHARGE '!L310</f>
        <v>0</v>
      </c>
      <c r="Y310" s="180" t="s">
        <v>0</v>
      </c>
    </row>
    <row r="311" spans="1:25" ht="50.1" customHeight="1" x14ac:dyDescent="0.25">
      <c r="A311" s="5">
        <v>297</v>
      </c>
      <c r="B311" s="10">
        <f>'CLIENT ENROLLMENT DISCHARGE '!B311</f>
        <v>0</v>
      </c>
      <c r="C311" s="4">
        <f>'CLIENT ENROLLMENT DISCHARGE '!C311</f>
        <v>0</v>
      </c>
      <c r="D311" s="51"/>
      <c r="E311" s="52"/>
      <c r="F311" s="51"/>
      <c r="G311" s="52"/>
      <c r="H311" s="62"/>
      <c r="I311" s="115"/>
      <c r="J311" s="9"/>
      <c r="K311" s="70"/>
      <c r="L311" s="52"/>
      <c r="M311" s="8"/>
      <c r="N311" s="7"/>
      <c r="O311" s="218">
        <f t="shared" si="4"/>
        <v>0</v>
      </c>
      <c r="P311" s="218">
        <f>O311+SEPT!P311</f>
        <v>0</v>
      </c>
      <c r="Q311" s="59"/>
      <c r="R311" s="51"/>
      <c r="S311" s="65"/>
      <c r="T311" s="64"/>
      <c r="U311" s="67"/>
      <c r="V311" s="74"/>
      <c r="W311" s="6">
        <f>'CLIENT ENROLLMENT DISCHARGE '!M311</f>
        <v>0</v>
      </c>
      <c r="X311" s="76">
        <f>'CLIENT ENROLLMENT DISCHARGE '!L311</f>
        <v>0</v>
      </c>
      <c r="Y311" s="180" t="s">
        <v>0</v>
      </c>
    </row>
    <row r="312" spans="1:25" ht="50.1" customHeight="1" x14ac:dyDescent="0.25">
      <c r="A312" s="5">
        <v>298</v>
      </c>
      <c r="B312" s="10">
        <f>'CLIENT ENROLLMENT DISCHARGE '!B312</f>
        <v>0</v>
      </c>
      <c r="C312" s="4">
        <f>'CLIENT ENROLLMENT DISCHARGE '!C312</f>
        <v>0</v>
      </c>
      <c r="D312" s="52"/>
      <c r="E312" s="53"/>
      <c r="F312" s="52"/>
      <c r="G312" s="53"/>
      <c r="H312" s="63"/>
      <c r="I312" s="116"/>
      <c r="J312" s="3"/>
      <c r="K312" s="71"/>
      <c r="L312" s="53"/>
      <c r="M312" s="2"/>
      <c r="N312" s="1"/>
      <c r="O312" s="218">
        <f t="shared" si="4"/>
        <v>0</v>
      </c>
      <c r="P312" s="218">
        <f>O312+SEPT!P312</f>
        <v>0</v>
      </c>
      <c r="Q312" s="60"/>
      <c r="R312" s="52"/>
      <c r="S312" s="66"/>
      <c r="T312" s="65"/>
      <c r="U312" s="68"/>
      <c r="V312" s="59"/>
      <c r="W312" s="6">
        <f>'CLIENT ENROLLMENT DISCHARGE '!M312</f>
        <v>0</v>
      </c>
      <c r="X312" s="76">
        <f>'CLIENT ENROLLMENT DISCHARGE '!L312</f>
        <v>0</v>
      </c>
      <c r="Y312" s="180" t="s">
        <v>0</v>
      </c>
    </row>
    <row r="313" spans="1:25" ht="50.1" customHeight="1" x14ac:dyDescent="0.25">
      <c r="A313" s="5">
        <v>299</v>
      </c>
      <c r="B313" s="10">
        <f>'CLIENT ENROLLMENT DISCHARGE '!B313</f>
        <v>0</v>
      </c>
      <c r="C313" s="4">
        <f>'CLIENT ENROLLMENT DISCHARGE '!C313</f>
        <v>0</v>
      </c>
      <c r="D313" s="51"/>
      <c r="E313" s="52"/>
      <c r="F313" s="51"/>
      <c r="G313" s="52"/>
      <c r="H313" s="62"/>
      <c r="I313" s="115"/>
      <c r="J313" s="9"/>
      <c r="K313" s="70"/>
      <c r="L313" s="52"/>
      <c r="M313" s="8"/>
      <c r="N313" s="7"/>
      <c r="O313" s="218">
        <f t="shared" si="4"/>
        <v>0</v>
      </c>
      <c r="P313" s="218">
        <f>O313+SEPT!P313</f>
        <v>0</v>
      </c>
      <c r="Q313" s="59"/>
      <c r="R313" s="51"/>
      <c r="S313" s="65"/>
      <c r="T313" s="64"/>
      <c r="U313" s="67"/>
      <c r="V313" s="74"/>
      <c r="W313" s="6">
        <f>'CLIENT ENROLLMENT DISCHARGE '!M313</f>
        <v>0</v>
      </c>
      <c r="X313" s="76">
        <f>'CLIENT ENROLLMENT DISCHARGE '!L313</f>
        <v>0</v>
      </c>
      <c r="Y313" s="180" t="s">
        <v>0</v>
      </c>
    </row>
    <row r="314" spans="1:25" ht="50.1" customHeight="1" x14ac:dyDescent="0.25">
      <c r="A314" s="5">
        <v>300</v>
      </c>
      <c r="B314" s="10">
        <f>'CLIENT ENROLLMENT DISCHARGE '!B314</f>
        <v>0</v>
      </c>
      <c r="C314" s="4">
        <f>'CLIENT ENROLLMENT DISCHARGE '!C314</f>
        <v>0</v>
      </c>
      <c r="D314" s="52"/>
      <c r="E314" s="53"/>
      <c r="F314" s="52"/>
      <c r="G314" s="53"/>
      <c r="H314" s="63"/>
      <c r="I314" s="116"/>
      <c r="J314" s="3"/>
      <c r="K314" s="71"/>
      <c r="L314" s="53"/>
      <c r="M314" s="2"/>
      <c r="N314" s="1"/>
      <c r="O314" s="218">
        <f t="shared" si="4"/>
        <v>0</v>
      </c>
      <c r="P314" s="218">
        <f>O314+SEPT!P314</f>
        <v>0</v>
      </c>
      <c r="Q314" s="60"/>
      <c r="R314" s="52"/>
      <c r="S314" s="66"/>
      <c r="T314" s="65"/>
      <c r="U314" s="68"/>
      <c r="V314" s="59"/>
      <c r="W314" s="6">
        <f>'CLIENT ENROLLMENT DISCHARGE '!M314</f>
        <v>0</v>
      </c>
      <c r="X314" s="76">
        <f>'CLIENT ENROLLMENT DISCHARGE '!L314</f>
        <v>0</v>
      </c>
      <c r="Y314" s="180" t="s">
        <v>0</v>
      </c>
    </row>
    <row r="315" spans="1:25" ht="50.1" customHeight="1" x14ac:dyDescent="0.25">
      <c r="A315" s="5">
        <v>301</v>
      </c>
      <c r="B315" s="10">
        <f>'CLIENT ENROLLMENT DISCHARGE '!B315</f>
        <v>0</v>
      </c>
      <c r="C315" s="4">
        <f>'CLIENT ENROLLMENT DISCHARGE '!C315</f>
        <v>0</v>
      </c>
      <c r="D315" s="51"/>
      <c r="E315" s="52"/>
      <c r="F315" s="51"/>
      <c r="G315" s="52"/>
      <c r="H315" s="62"/>
      <c r="I315" s="115"/>
      <c r="J315" s="9"/>
      <c r="K315" s="70"/>
      <c r="L315" s="52"/>
      <c r="M315" s="8"/>
      <c r="N315" s="7"/>
      <c r="O315" s="218">
        <f t="shared" si="4"/>
        <v>0</v>
      </c>
      <c r="P315" s="218">
        <f>O315+SEPT!P315</f>
        <v>0</v>
      </c>
      <c r="Q315" s="59"/>
      <c r="R315" s="51"/>
      <c r="S315" s="65"/>
      <c r="T315" s="64"/>
      <c r="U315" s="67"/>
      <c r="V315" s="74"/>
      <c r="W315" s="6">
        <f>'CLIENT ENROLLMENT DISCHARGE '!M315</f>
        <v>0</v>
      </c>
      <c r="X315" s="76">
        <f>'CLIENT ENROLLMENT DISCHARGE '!L315</f>
        <v>0</v>
      </c>
      <c r="Y315" s="180" t="s">
        <v>0</v>
      </c>
    </row>
    <row r="316" spans="1:25" ht="50.1" customHeight="1" x14ac:dyDescent="0.25">
      <c r="A316" s="5">
        <v>302</v>
      </c>
      <c r="B316" s="10">
        <f>'CLIENT ENROLLMENT DISCHARGE '!B316</f>
        <v>0</v>
      </c>
      <c r="C316" s="4">
        <f>'CLIENT ENROLLMENT DISCHARGE '!C316</f>
        <v>0</v>
      </c>
      <c r="D316" s="52"/>
      <c r="E316" s="53"/>
      <c r="F316" s="52"/>
      <c r="G316" s="53"/>
      <c r="H316" s="63"/>
      <c r="I316" s="116"/>
      <c r="J316" s="3"/>
      <c r="K316" s="71"/>
      <c r="L316" s="53"/>
      <c r="M316" s="2"/>
      <c r="N316" s="1"/>
      <c r="O316" s="218">
        <f t="shared" si="4"/>
        <v>0</v>
      </c>
      <c r="P316" s="218">
        <f>O316+SEPT!P316</f>
        <v>0</v>
      </c>
      <c r="Q316" s="60"/>
      <c r="R316" s="52"/>
      <c r="S316" s="66"/>
      <c r="T316" s="65"/>
      <c r="U316" s="68"/>
      <c r="V316" s="59"/>
      <c r="W316" s="6">
        <f>'CLIENT ENROLLMENT DISCHARGE '!M316</f>
        <v>0</v>
      </c>
      <c r="X316" s="76">
        <f>'CLIENT ENROLLMENT DISCHARGE '!L316</f>
        <v>0</v>
      </c>
      <c r="Y316" s="180" t="s">
        <v>0</v>
      </c>
    </row>
    <row r="317" spans="1:25" ht="50.1" customHeight="1" x14ac:dyDescent="0.25">
      <c r="A317" s="5">
        <v>303</v>
      </c>
      <c r="B317" s="10">
        <f>'CLIENT ENROLLMENT DISCHARGE '!B317</f>
        <v>0</v>
      </c>
      <c r="C317" s="4">
        <f>'CLIENT ENROLLMENT DISCHARGE '!C317</f>
        <v>0</v>
      </c>
      <c r="D317" s="51"/>
      <c r="E317" s="52"/>
      <c r="F317" s="51"/>
      <c r="G317" s="52"/>
      <c r="H317" s="62"/>
      <c r="I317" s="115"/>
      <c r="J317" s="9"/>
      <c r="K317" s="70"/>
      <c r="L317" s="52"/>
      <c r="M317" s="8"/>
      <c r="N317" s="7"/>
      <c r="O317" s="218">
        <f t="shared" si="4"/>
        <v>0</v>
      </c>
      <c r="P317" s="218">
        <f>O317+SEPT!P317</f>
        <v>0</v>
      </c>
      <c r="Q317" s="59"/>
      <c r="R317" s="51"/>
      <c r="S317" s="65"/>
      <c r="T317" s="64"/>
      <c r="U317" s="67"/>
      <c r="V317" s="74"/>
      <c r="W317" s="6">
        <f>'CLIENT ENROLLMENT DISCHARGE '!M317</f>
        <v>0</v>
      </c>
      <c r="X317" s="76">
        <f>'CLIENT ENROLLMENT DISCHARGE '!L317</f>
        <v>0</v>
      </c>
      <c r="Y317" s="180" t="s">
        <v>0</v>
      </c>
    </row>
    <row r="318" spans="1:25" ht="50.1" customHeight="1" x14ac:dyDescent="0.25">
      <c r="A318" s="5">
        <v>304</v>
      </c>
      <c r="B318" s="10">
        <f>'CLIENT ENROLLMENT DISCHARGE '!B318</f>
        <v>0</v>
      </c>
      <c r="C318" s="4">
        <f>'CLIENT ENROLLMENT DISCHARGE '!C318</f>
        <v>0</v>
      </c>
      <c r="D318" s="52"/>
      <c r="E318" s="53"/>
      <c r="F318" s="52"/>
      <c r="G318" s="53"/>
      <c r="H318" s="63"/>
      <c r="I318" s="116"/>
      <c r="J318" s="3"/>
      <c r="K318" s="71"/>
      <c r="L318" s="53"/>
      <c r="M318" s="2"/>
      <c r="N318" s="1"/>
      <c r="O318" s="218">
        <f t="shared" si="4"/>
        <v>0</v>
      </c>
      <c r="P318" s="218">
        <f>O318+SEPT!P318</f>
        <v>0</v>
      </c>
      <c r="Q318" s="60"/>
      <c r="R318" s="52"/>
      <c r="S318" s="66"/>
      <c r="T318" s="65"/>
      <c r="U318" s="68"/>
      <c r="V318" s="59"/>
      <c r="W318" s="6">
        <f>'CLIENT ENROLLMENT DISCHARGE '!M318</f>
        <v>0</v>
      </c>
      <c r="X318" s="76">
        <f>'CLIENT ENROLLMENT DISCHARGE '!L318</f>
        <v>0</v>
      </c>
      <c r="Y318" s="180" t="s">
        <v>0</v>
      </c>
    </row>
    <row r="319" spans="1:25" ht="50.1" customHeight="1" x14ac:dyDescent="0.25">
      <c r="A319" s="5">
        <v>305</v>
      </c>
      <c r="B319" s="10">
        <f>'CLIENT ENROLLMENT DISCHARGE '!B319</f>
        <v>0</v>
      </c>
      <c r="C319" s="4">
        <f>'CLIENT ENROLLMENT DISCHARGE '!C319</f>
        <v>0</v>
      </c>
      <c r="D319" s="51"/>
      <c r="E319" s="52"/>
      <c r="F319" s="51"/>
      <c r="G319" s="52"/>
      <c r="H319" s="62"/>
      <c r="I319" s="115"/>
      <c r="J319" s="9"/>
      <c r="K319" s="70"/>
      <c r="L319" s="52"/>
      <c r="M319" s="8"/>
      <c r="N319" s="7"/>
      <c r="O319" s="218">
        <f t="shared" si="4"/>
        <v>0</v>
      </c>
      <c r="P319" s="218">
        <f>O319+SEPT!P319</f>
        <v>0</v>
      </c>
      <c r="Q319" s="59"/>
      <c r="R319" s="51"/>
      <c r="S319" s="65"/>
      <c r="T319" s="64"/>
      <c r="U319" s="67"/>
      <c r="V319" s="74"/>
      <c r="W319" s="6">
        <f>'CLIENT ENROLLMENT DISCHARGE '!M319</f>
        <v>0</v>
      </c>
      <c r="X319" s="76">
        <f>'CLIENT ENROLLMENT DISCHARGE '!L319</f>
        <v>0</v>
      </c>
      <c r="Y319" s="180" t="s">
        <v>0</v>
      </c>
    </row>
    <row r="320" spans="1:25" ht="50.1" customHeight="1" x14ac:dyDescent="0.25">
      <c r="A320" s="5">
        <v>306</v>
      </c>
      <c r="B320" s="10">
        <f>'CLIENT ENROLLMENT DISCHARGE '!B320</f>
        <v>0</v>
      </c>
      <c r="C320" s="4">
        <f>'CLIENT ENROLLMENT DISCHARGE '!C320</f>
        <v>0</v>
      </c>
      <c r="D320" s="52"/>
      <c r="E320" s="53"/>
      <c r="F320" s="52"/>
      <c r="G320" s="53"/>
      <c r="H320" s="63"/>
      <c r="I320" s="116"/>
      <c r="J320" s="3"/>
      <c r="K320" s="71"/>
      <c r="L320" s="53"/>
      <c r="M320" s="2"/>
      <c r="N320" s="1"/>
      <c r="O320" s="218">
        <f t="shared" si="4"/>
        <v>0</v>
      </c>
      <c r="P320" s="218">
        <f>O320+SEPT!P320</f>
        <v>0</v>
      </c>
      <c r="Q320" s="60"/>
      <c r="R320" s="52"/>
      <c r="S320" s="66"/>
      <c r="T320" s="65"/>
      <c r="U320" s="68"/>
      <c r="V320" s="75"/>
      <c r="W320" s="6">
        <f>'CLIENT ENROLLMENT DISCHARGE '!M320</f>
        <v>0</v>
      </c>
      <c r="X320" s="76">
        <f>'CLIENT ENROLLMENT DISCHARGE '!L320</f>
        <v>0</v>
      </c>
      <c r="Y320" s="180" t="s">
        <v>0</v>
      </c>
    </row>
    <row r="321" spans="1:25" ht="50.1" customHeight="1" x14ac:dyDescent="0.25">
      <c r="A321" s="5">
        <v>307</v>
      </c>
      <c r="B321" s="10">
        <f>'CLIENT ENROLLMENT DISCHARGE '!B321</f>
        <v>0</v>
      </c>
      <c r="C321" s="4">
        <f>'CLIENT ENROLLMENT DISCHARGE '!C321</f>
        <v>0</v>
      </c>
      <c r="D321" s="51"/>
      <c r="E321" s="52"/>
      <c r="F321" s="51"/>
      <c r="G321" s="52"/>
      <c r="H321" s="62"/>
      <c r="I321" s="115"/>
      <c r="J321" s="9"/>
      <c r="K321" s="70"/>
      <c r="L321" s="52"/>
      <c r="M321" s="8"/>
      <c r="N321" s="7"/>
      <c r="O321" s="218">
        <f t="shared" si="4"/>
        <v>0</v>
      </c>
      <c r="P321" s="218">
        <f>O321+SEPT!P321</f>
        <v>0</v>
      </c>
      <c r="Q321" s="59"/>
      <c r="R321" s="51"/>
      <c r="S321" s="65"/>
      <c r="T321" s="64"/>
      <c r="U321" s="67"/>
      <c r="V321" s="74"/>
      <c r="W321" s="6">
        <f>'CLIENT ENROLLMENT DISCHARGE '!M321</f>
        <v>0</v>
      </c>
      <c r="X321" s="76">
        <f>'CLIENT ENROLLMENT DISCHARGE '!L321</f>
        <v>0</v>
      </c>
      <c r="Y321" s="180" t="s">
        <v>0</v>
      </c>
    </row>
    <row r="322" spans="1:25" ht="50.1" customHeight="1" x14ac:dyDescent="0.25">
      <c r="A322" s="5">
        <v>308</v>
      </c>
      <c r="B322" s="10">
        <f>'CLIENT ENROLLMENT DISCHARGE '!B322</f>
        <v>0</v>
      </c>
      <c r="C322" s="4">
        <f>'CLIENT ENROLLMENT DISCHARGE '!C322</f>
        <v>0</v>
      </c>
      <c r="D322" s="52"/>
      <c r="E322" s="53"/>
      <c r="F322" s="52"/>
      <c r="G322" s="53"/>
      <c r="H322" s="63"/>
      <c r="I322" s="116"/>
      <c r="J322" s="3"/>
      <c r="K322" s="71"/>
      <c r="L322" s="53"/>
      <c r="M322" s="2"/>
      <c r="N322" s="1"/>
      <c r="O322" s="218">
        <f t="shared" si="4"/>
        <v>0</v>
      </c>
      <c r="P322" s="218">
        <f>O322+SEPT!P322</f>
        <v>0</v>
      </c>
      <c r="Q322" s="60"/>
      <c r="R322" s="52"/>
      <c r="S322" s="66"/>
      <c r="T322" s="65"/>
      <c r="U322" s="68"/>
      <c r="V322" s="59"/>
      <c r="W322" s="6">
        <f>'CLIENT ENROLLMENT DISCHARGE '!M322</f>
        <v>0</v>
      </c>
      <c r="X322" s="76">
        <f>'CLIENT ENROLLMENT DISCHARGE '!L322</f>
        <v>0</v>
      </c>
      <c r="Y322" s="180" t="s">
        <v>0</v>
      </c>
    </row>
    <row r="323" spans="1:25" ht="50.1" customHeight="1" x14ac:dyDescent="0.25">
      <c r="A323" s="5">
        <v>309</v>
      </c>
      <c r="B323" s="10">
        <f>'CLIENT ENROLLMENT DISCHARGE '!B323</f>
        <v>0</v>
      </c>
      <c r="C323" s="4">
        <f>'CLIENT ENROLLMENT DISCHARGE '!C323</f>
        <v>0</v>
      </c>
      <c r="D323" s="51"/>
      <c r="E323" s="52"/>
      <c r="F323" s="51"/>
      <c r="G323" s="52"/>
      <c r="H323" s="62"/>
      <c r="I323" s="115"/>
      <c r="J323" s="9"/>
      <c r="K323" s="70"/>
      <c r="L323" s="52"/>
      <c r="M323" s="8"/>
      <c r="N323" s="7"/>
      <c r="O323" s="218">
        <f t="shared" si="4"/>
        <v>0</v>
      </c>
      <c r="P323" s="218">
        <f>O323+SEPT!P323</f>
        <v>0</v>
      </c>
      <c r="Q323" s="59"/>
      <c r="R323" s="51"/>
      <c r="S323" s="65"/>
      <c r="T323" s="64"/>
      <c r="U323" s="67"/>
      <c r="V323" s="74"/>
      <c r="W323" s="6">
        <f>'CLIENT ENROLLMENT DISCHARGE '!M323</f>
        <v>0</v>
      </c>
      <c r="X323" s="76">
        <f>'CLIENT ENROLLMENT DISCHARGE '!L323</f>
        <v>0</v>
      </c>
      <c r="Y323" s="180" t="s">
        <v>0</v>
      </c>
    </row>
    <row r="324" spans="1:25" ht="50.1" customHeight="1" x14ac:dyDescent="0.25">
      <c r="A324" s="5">
        <v>310</v>
      </c>
      <c r="B324" s="10">
        <f>'CLIENT ENROLLMENT DISCHARGE '!B324</f>
        <v>0</v>
      </c>
      <c r="C324" s="4">
        <f>'CLIENT ENROLLMENT DISCHARGE '!C324</f>
        <v>0</v>
      </c>
      <c r="D324" s="52"/>
      <c r="E324" s="53"/>
      <c r="F324" s="52"/>
      <c r="G324" s="53"/>
      <c r="H324" s="63"/>
      <c r="I324" s="116"/>
      <c r="J324" s="3"/>
      <c r="K324" s="71"/>
      <c r="L324" s="53"/>
      <c r="M324" s="2"/>
      <c r="N324" s="1"/>
      <c r="O324" s="218">
        <f t="shared" si="4"/>
        <v>0</v>
      </c>
      <c r="P324" s="218">
        <f>O324+SEPT!P324</f>
        <v>0</v>
      </c>
      <c r="Q324" s="60"/>
      <c r="R324" s="52"/>
      <c r="S324" s="66"/>
      <c r="T324" s="65"/>
      <c r="U324" s="68"/>
      <c r="V324" s="59"/>
      <c r="W324" s="6">
        <f>'CLIENT ENROLLMENT DISCHARGE '!M324</f>
        <v>0</v>
      </c>
      <c r="X324" s="76">
        <f>'CLIENT ENROLLMENT DISCHARGE '!L324</f>
        <v>0</v>
      </c>
      <c r="Y324" s="180" t="s">
        <v>0</v>
      </c>
    </row>
    <row r="325" spans="1:25" ht="50.1" customHeight="1" x14ac:dyDescent="0.25">
      <c r="A325" s="5">
        <v>311</v>
      </c>
      <c r="B325" s="10">
        <f>'CLIENT ENROLLMENT DISCHARGE '!B325</f>
        <v>0</v>
      </c>
      <c r="C325" s="4">
        <f>'CLIENT ENROLLMENT DISCHARGE '!C325</f>
        <v>0</v>
      </c>
      <c r="D325" s="51"/>
      <c r="E325" s="52"/>
      <c r="F325" s="51"/>
      <c r="G325" s="52"/>
      <c r="H325" s="62"/>
      <c r="I325" s="115"/>
      <c r="J325" s="9"/>
      <c r="K325" s="70"/>
      <c r="L325" s="52"/>
      <c r="M325" s="8"/>
      <c r="N325" s="7"/>
      <c r="O325" s="218">
        <f t="shared" si="4"/>
        <v>0</v>
      </c>
      <c r="P325" s="218">
        <f>O325+SEPT!P325</f>
        <v>0</v>
      </c>
      <c r="Q325" s="59"/>
      <c r="R325" s="51"/>
      <c r="S325" s="65"/>
      <c r="T325" s="64"/>
      <c r="U325" s="67"/>
      <c r="V325" s="74"/>
      <c r="W325" s="6">
        <f>'CLIENT ENROLLMENT DISCHARGE '!M325</f>
        <v>0</v>
      </c>
      <c r="X325" s="76">
        <f>'CLIENT ENROLLMENT DISCHARGE '!L325</f>
        <v>0</v>
      </c>
      <c r="Y325" s="180" t="s">
        <v>0</v>
      </c>
    </row>
    <row r="326" spans="1:25" ht="50.1" customHeight="1" x14ac:dyDescent="0.25">
      <c r="A326" s="5">
        <v>312</v>
      </c>
      <c r="B326" s="10">
        <f>'CLIENT ENROLLMENT DISCHARGE '!B326</f>
        <v>0</v>
      </c>
      <c r="C326" s="4">
        <f>'CLIENT ENROLLMENT DISCHARGE '!C326</f>
        <v>0</v>
      </c>
      <c r="D326" s="52"/>
      <c r="E326" s="53"/>
      <c r="F326" s="52"/>
      <c r="G326" s="53"/>
      <c r="H326" s="63"/>
      <c r="I326" s="116"/>
      <c r="J326" s="3"/>
      <c r="K326" s="71"/>
      <c r="L326" s="53"/>
      <c r="M326" s="2"/>
      <c r="N326" s="1"/>
      <c r="O326" s="218">
        <f t="shared" si="4"/>
        <v>0</v>
      </c>
      <c r="P326" s="218">
        <f>O326+SEPT!P326</f>
        <v>0</v>
      </c>
      <c r="Q326" s="60"/>
      <c r="R326" s="52"/>
      <c r="S326" s="66"/>
      <c r="T326" s="65"/>
      <c r="U326" s="68"/>
      <c r="V326" s="59"/>
      <c r="W326" s="6">
        <f>'CLIENT ENROLLMENT DISCHARGE '!M326</f>
        <v>0</v>
      </c>
      <c r="X326" s="76">
        <f>'CLIENT ENROLLMENT DISCHARGE '!L326</f>
        <v>0</v>
      </c>
      <c r="Y326" s="180" t="s">
        <v>0</v>
      </c>
    </row>
    <row r="327" spans="1:25" ht="50.1" customHeight="1" x14ac:dyDescent="0.25">
      <c r="A327" s="5">
        <v>313</v>
      </c>
      <c r="B327" s="10">
        <f>'CLIENT ENROLLMENT DISCHARGE '!B327</f>
        <v>0</v>
      </c>
      <c r="C327" s="4">
        <f>'CLIENT ENROLLMENT DISCHARGE '!C327</f>
        <v>0</v>
      </c>
      <c r="D327" s="51"/>
      <c r="E327" s="52"/>
      <c r="F327" s="51"/>
      <c r="G327" s="52"/>
      <c r="H327" s="62"/>
      <c r="I327" s="115"/>
      <c r="J327" s="9"/>
      <c r="K327" s="70"/>
      <c r="L327" s="52"/>
      <c r="M327" s="8"/>
      <c r="N327" s="7"/>
      <c r="O327" s="218">
        <f t="shared" si="4"/>
        <v>0</v>
      </c>
      <c r="P327" s="218">
        <f>O327+SEPT!P327</f>
        <v>0</v>
      </c>
      <c r="Q327" s="59"/>
      <c r="R327" s="51"/>
      <c r="S327" s="65"/>
      <c r="T327" s="64"/>
      <c r="U327" s="67"/>
      <c r="V327" s="74"/>
      <c r="W327" s="6">
        <f>'CLIENT ENROLLMENT DISCHARGE '!M327</f>
        <v>0</v>
      </c>
      <c r="X327" s="76">
        <f>'CLIENT ENROLLMENT DISCHARGE '!L327</f>
        <v>0</v>
      </c>
      <c r="Y327" s="180" t="s">
        <v>0</v>
      </c>
    </row>
    <row r="328" spans="1:25" ht="50.1" customHeight="1" x14ac:dyDescent="0.25">
      <c r="A328" s="5">
        <v>314</v>
      </c>
      <c r="B328" s="10">
        <f>'CLIENT ENROLLMENT DISCHARGE '!B328</f>
        <v>0</v>
      </c>
      <c r="C328" s="4">
        <f>'CLIENT ENROLLMENT DISCHARGE '!C328</f>
        <v>0</v>
      </c>
      <c r="D328" s="52"/>
      <c r="E328" s="53"/>
      <c r="F328" s="52"/>
      <c r="G328" s="53"/>
      <c r="H328" s="63"/>
      <c r="I328" s="116"/>
      <c r="J328" s="3"/>
      <c r="K328" s="71"/>
      <c r="L328" s="53"/>
      <c r="M328" s="2"/>
      <c r="N328" s="1"/>
      <c r="O328" s="218">
        <f t="shared" si="4"/>
        <v>0</v>
      </c>
      <c r="P328" s="218">
        <f>O328+SEPT!P328</f>
        <v>0</v>
      </c>
      <c r="Q328" s="60"/>
      <c r="R328" s="52"/>
      <c r="S328" s="66"/>
      <c r="T328" s="65"/>
      <c r="U328" s="68"/>
      <c r="V328" s="59"/>
      <c r="W328" s="6">
        <f>'CLIENT ENROLLMENT DISCHARGE '!M328</f>
        <v>0</v>
      </c>
      <c r="X328" s="76">
        <f>'CLIENT ENROLLMENT DISCHARGE '!L328</f>
        <v>0</v>
      </c>
      <c r="Y328" s="180" t="s">
        <v>0</v>
      </c>
    </row>
    <row r="329" spans="1:25" ht="50.1" customHeight="1" x14ac:dyDescent="0.25">
      <c r="A329" s="5">
        <v>315</v>
      </c>
      <c r="B329" s="10">
        <f>'CLIENT ENROLLMENT DISCHARGE '!B329</f>
        <v>0</v>
      </c>
      <c r="C329" s="4">
        <f>'CLIENT ENROLLMENT DISCHARGE '!C329</f>
        <v>0</v>
      </c>
      <c r="D329" s="51"/>
      <c r="E329" s="52"/>
      <c r="F329" s="51"/>
      <c r="G329" s="52"/>
      <c r="H329" s="62"/>
      <c r="I329" s="115"/>
      <c r="J329" s="9"/>
      <c r="K329" s="70"/>
      <c r="L329" s="52"/>
      <c r="M329" s="8"/>
      <c r="N329" s="7"/>
      <c r="O329" s="218">
        <f t="shared" si="4"/>
        <v>0</v>
      </c>
      <c r="P329" s="218">
        <f>O329+SEPT!P329</f>
        <v>0</v>
      </c>
      <c r="Q329" s="59"/>
      <c r="R329" s="51"/>
      <c r="S329" s="65"/>
      <c r="T329" s="64"/>
      <c r="U329" s="67"/>
      <c r="V329" s="74"/>
      <c r="W329" s="6">
        <f>'CLIENT ENROLLMENT DISCHARGE '!M329</f>
        <v>0</v>
      </c>
      <c r="X329" s="76">
        <f>'CLIENT ENROLLMENT DISCHARGE '!L329</f>
        <v>0</v>
      </c>
      <c r="Y329" s="180" t="s">
        <v>0</v>
      </c>
    </row>
    <row r="330" spans="1:25" ht="50.1" customHeight="1" x14ac:dyDescent="0.25">
      <c r="A330" s="5">
        <v>316</v>
      </c>
      <c r="B330" s="10">
        <f>'CLIENT ENROLLMENT DISCHARGE '!B330</f>
        <v>0</v>
      </c>
      <c r="C330" s="4">
        <f>'CLIENT ENROLLMENT DISCHARGE '!C330</f>
        <v>0</v>
      </c>
      <c r="D330" s="52"/>
      <c r="E330" s="53"/>
      <c r="F330" s="52"/>
      <c r="G330" s="53"/>
      <c r="H330" s="63"/>
      <c r="I330" s="116"/>
      <c r="J330" s="3"/>
      <c r="K330" s="71"/>
      <c r="L330" s="53"/>
      <c r="M330" s="2"/>
      <c r="N330" s="1"/>
      <c r="O330" s="218">
        <f t="shared" si="4"/>
        <v>0</v>
      </c>
      <c r="P330" s="218">
        <f>O330+SEPT!P330</f>
        <v>0</v>
      </c>
      <c r="Q330" s="60"/>
      <c r="R330" s="52"/>
      <c r="S330" s="66"/>
      <c r="T330" s="65"/>
      <c r="U330" s="68"/>
      <c r="V330" s="75"/>
      <c r="W330" s="6">
        <f>'CLIENT ENROLLMENT DISCHARGE '!M330</f>
        <v>0</v>
      </c>
      <c r="X330" s="76">
        <f>'CLIENT ENROLLMENT DISCHARGE '!L330</f>
        <v>0</v>
      </c>
      <c r="Y330" s="180" t="s">
        <v>0</v>
      </c>
    </row>
    <row r="331" spans="1:25" ht="50.1" customHeight="1" x14ac:dyDescent="0.25">
      <c r="A331" s="5">
        <v>317</v>
      </c>
      <c r="B331" s="10">
        <f>'CLIENT ENROLLMENT DISCHARGE '!B331</f>
        <v>0</v>
      </c>
      <c r="C331" s="4">
        <f>'CLIENT ENROLLMENT DISCHARGE '!C331</f>
        <v>0</v>
      </c>
      <c r="D331" s="51"/>
      <c r="E331" s="52"/>
      <c r="F331" s="51"/>
      <c r="G331" s="52"/>
      <c r="H331" s="62"/>
      <c r="I331" s="115"/>
      <c r="J331" s="9"/>
      <c r="K331" s="70"/>
      <c r="L331" s="52"/>
      <c r="M331" s="8"/>
      <c r="N331" s="7"/>
      <c r="O331" s="218">
        <f t="shared" si="4"/>
        <v>0</v>
      </c>
      <c r="P331" s="218">
        <f>O331+SEPT!P331</f>
        <v>0</v>
      </c>
      <c r="Q331" s="59"/>
      <c r="R331" s="51"/>
      <c r="S331" s="65"/>
      <c r="T331" s="64"/>
      <c r="U331" s="67"/>
      <c r="V331" s="74"/>
      <c r="W331" s="6">
        <f>'CLIENT ENROLLMENT DISCHARGE '!M331</f>
        <v>0</v>
      </c>
      <c r="X331" s="76">
        <f>'CLIENT ENROLLMENT DISCHARGE '!L331</f>
        <v>0</v>
      </c>
      <c r="Y331" s="180" t="s">
        <v>0</v>
      </c>
    </row>
    <row r="332" spans="1:25" ht="50.1" customHeight="1" x14ac:dyDescent="0.25">
      <c r="A332" s="5">
        <v>318</v>
      </c>
      <c r="B332" s="10">
        <f>'CLIENT ENROLLMENT DISCHARGE '!B332</f>
        <v>0</v>
      </c>
      <c r="C332" s="4">
        <f>'CLIENT ENROLLMENT DISCHARGE '!C332</f>
        <v>0</v>
      </c>
      <c r="D332" s="52"/>
      <c r="E332" s="53"/>
      <c r="F332" s="52"/>
      <c r="G332" s="53"/>
      <c r="H332" s="63"/>
      <c r="I332" s="116"/>
      <c r="J332" s="3"/>
      <c r="K332" s="71"/>
      <c r="L332" s="53"/>
      <c r="M332" s="2"/>
      <c r="N332" s="1"/>
      <c r="O332" s="218">
        <f t="shared" si="4"/>
        <v>0</v>
      </c>
      <c r="P332" s="218">
        <f>O332+SEPT!P332</f>
        <v>0</v>
      </c>
      <c r="Q332" s="60"/>
      <c r="R332" s="52"/>
      <c r="S332" s="66"/>
      <c r="T332" s="65"/>
      <c r="U332" s="68"/>
      <c r="V332" s="59"/>
      <c r="W332" s="6">
        <f>'CLIENT ENROLLMENT DISCHARGE '!M332</f>
        <v>0</v>
      </c>
      <c r="X332" s="76">
        <f>'CLIENT ENROLLMENT DISCHARGE '!L332</f>
        <v>0</v>
      </c>
      <c r="Y332" s="180" t="s">
        <v>0</v>
      </c>
    </row>
    <row r="333" spans="1:25" ht="50.1" customHeight="1" x14ac:dyDescent="0.25">
      <c r="A333" s="5">
        <v>319</v>
      </c>
      <c r="B333" s="10">
        <f>'CLIENT ENROLLMENT DISCHARGE '!B333</f>
        <v>0</v>
      </c>
      <c r="C333" s="4">
        <f>'CLIENT ENROLLMENT DISCHARGE '!C333</f>
        <v>0</v>
      </c>
      <c r="D333" s="51"/>
      <c r="E333" s="52"/>
      <c r="F333" s="51"/>
      <c r="G333" s="52"/>
      <c r="H333" s="62"/>
      <c r="I333" s="115"/>
      <c r="J333" s="9"/>
      <c r="K333" s="70"/>
      <c r="L333" s="52"/>
      <c r="M333" s="8"/>
      <c r="N333" s="7"/>
      <c r="O333" s="218">
        <f t="shared" si="4"/>
        <v>0</v>
      </c>
      <c r="P333" s="218">
        <f>O333+SEPT!P333</f>
        <v>0</v>
      </c>
      <c r="Q333" s="59"/>
      <c r="R333" s="51"/>
      <c r="S333" s="65"/>
      <c r="T333" s="64"/>
      <c r="U333" s="67"/>
      <c r="V333" s="74"/>
      <c r="W333" s="6">
        <f>'CLIENT ENROLLMENT DISCHARGE '!M333</f>
        <v>0</v>
      </c>
      <c r="X333" s="76">
        <f>'CLIENT ENROLLMENT DISCHARGE '!L333</f>
        <v>0</v>
      </c>
      <c r="Y333" s="180" t="s">
        <v>0</v>
      </c>
    </row>
    <row r="334" spans="1:25" ht="50.1" customHeight="1" x14ac:dyDescent="0.25">
      <c r="A334" s="5">
        <v>320</v>
      </c>
      <c r="B334" s="10">
        <f>'CLIENT ENROLLMENT DISCHARGE '!B334</f>
        <v>0</v>
      </c>
      <c r="C334" s="4">
        <f>'CLIENT ENROLLMENT DISCHARGE '!C334</f>
        <v>0</v>
      </c>
      <c r="D334" s="52"/>
      <c r="E334" s="53"/>
      <c r="F334" s="52"/>
      <c r="G334" s="53"/>
      <c r="H334" s="63"/>
      <c r="I334" s="116"/>
      <c r="J334" s="3"/>
      <c r="K334" s="71"/>
      <c r="L334" s="53"/>
      <c r="M334" s="2"/>
      <c r="N334" s="1"/>
      <c r="O334" s="218">
        <f t="shared" si="4"/>
        <v>0</v>
      </c>
      <c r="P334" s="218">
        <f>O334+SEPT!P334</f>
        <v>0</v>
      </c>
      <c r="Q334" s="60"/>
      <c r="R334" s="52"/>
      <c r="S334" s="66"/>
      <c r="T334" s="65"/>
      <c r="U334" s="68"/>
      <c r="V334" s="59"/>
      <c r="W334" s="6">
        <f>'CLIENT ENROLLMENT DISCHARGE '!M334</f>
        <v>0</v>
      </c>
      <c r="X334" s="76">
        <f>'CLIENT ENROLLMENT DISCHARGE '!L334</f>
        <v>0</v>
      </c>
      <c r="Y334" s="180" t="s">
        <v>0</v>
      </c>
    </row>
    <row r="335" spans="1:25" ht="50.1" customHeight="1" x14ac:dyDescent="0.25">
      <c r="A335" s="5">
        <v>321</v>
      </c>
      <c r="B335" s="10">
        <f>'CLIENT ENROLLMENT DISCHARGE '!B335</f>
        <v>0</v>
      </c>
      <c r="C335" s="4">
        <f>'CLIENT ENROLLMENT DISCHARGE '!C335</f>
        <v>0</v>
      </c>
      <c r="D335" s="51"/>
      <c r="E335" s="52"/>
      <c r="F335" s="51"/>
      <c r="G335" s="52"/>
      <c r="H335" s="62"/>
      <c r="I335" s="115"/>
      <c r="J335" s="9"/>
      <c r="K335" s="70"/>
      <c r="L335" s="52"/>
      <c r="M335" s="8"/>
      <c r="N335" s="7"/>
      <c r="O335" s="218">
        <f t="shared" si="4"/>
        <v>0</v>
      </c>
      <c r="P335" s="218">
        <f>O335+SEPT!P335</f>
        <v>0</v>
      </c>
      <c r="Q335" s="59"/>
      <c r="R335" s="51"/>
      <c r="S335" s="65"/>
      <c r="T335" s="64"/>
      <c r="U335" s="67"/>
      <c r="V335" s="74"/>
      <c r="W335" s="6">
        <f>'CLIENT ENROLLMENT DISCHARGE '!M335</f>
        <v>0</v>
      </c>
      <c r="X335" s="76">
        <f>'CLIENT ENROLLMENT DISCHARGE '!L335</f>
        <v>0</v>
      </c>
      <c r="Y335" s="180" t="s">
        <v>0</v>
      </c>
    </row>
    <row r="336" spans="1:25" ht="50.1" customHeight="1" x14ac:dyDescent="0.25">
      <c r="A336" s="5">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5">K336*N336</f>
        <v>0</v>
      </c>
      <c r="P336" s="218">
        <f>O336+SEPT!P336</f>
        <v>0</v>
      </c>
      <c r="Q336" s="60"/>
      <c r="R336" s="52"/>
      <c r="S336" s="66"/>
      <c r="T336" s="65"/>
      <c r="U336" s="68"/>
      <c r="V336" s="59"/>
      <c r="W336" s="6">
        <f>'CLIENT ENROLLMENT DISCHARGE '!M336</f>
        <v>0</v>
      </c>
      <c r="X336" s="76">
        <f>'CLIENT ENROLLMENT DISCHARGE '!L336</f>
        <v>0</v>
      </c>
      <c r="Y336" s="180" t="s">
        <v>0</v>
      </c>
    </row>
    <row r="337" spans="1:25" ht="50.1" customHeight="1" x14ac:dyDescent="0.25">
      <c r="A337" s="5">
        <v>323</v>
      </c>
      <c r="B337" s="10">
        <f>'CLIENT ENROLLMENT DISCHARGE '!B337</f>
        <v>0</v>
      </c>
      <c r="C337" s="4">
        <f>'CLIENT ENROLLMENT DISCHARGE '!C337</f>
        <v>0</v>
      </c>
      <c r="D337" s="51"/>
      <c r="E337" s="52"/>
      <c r="F337" s="51"/>
      <c r="G337" s="52"/>
      <c r="H337" s="62"/>
      <c r="I337" s="115"/>
      <c r="J337" s="9"/>
      <c r="K337" s="70"/>
      <c r="L337" s="52"/>
      <c r="M337" s="8"/>
      <c r="N337" s="7"/>
      <c r="O337" s="218">
        <f t="shared" si="5"/>
        <v>0</v>
      </c>
      <c r="P337" s="218">
        <f>O337+SEPT!P337</f>
        <v>0</v>
      </c>
      <c r="Q337" s="59"/>
      <c r="R337" s="51"/>
      <c r="S337" s="65"/>
      <c r="T337" s="64"/>
      <c r="U337" s="67"/>
      <c r="V337" s="74"/>
      <c r="W337" s="6">
        <f>'CLIENT ENROLLMENT DISCHARGE '!M337</f>
        <v>0</v>
      </c>
      <c r="X337" s="76">
        <f>'CLIENT ENROLLMENT DISCHARGE '!L337</f>
        <v>0</v>
      </c>
      <c r="Y337" s="180" t="s">
        <v>0</v>
      </c>
    </row>
    <row r="338" spans="1:25" ht="50.1" customHeight="1" x14ac:dyDescent="0.25">
      <c r="A338" s="5">
        <v>324</v>
      </c>
      <c r="B338" s="10">
        <f>'CLIENT ENROLLMENT DISCHARGE '!B338</f>
        <v>0</v>
      </c>
      <c r="C338" s="4">
        <f>'CLIENT ENROLLMENT DISCHARGE '!C338</f>
        <v>0</v>
      </c>
      <c r="D338" s="52"/>
      <c r="E338" s="53"/>
      <c r="F338" s="52"/>
      <c r="G338" s="53"/>
      <c r="H338" s="63"/>
      <c r="I338" s="116"/>
      <c r="J338" s="3"/>
      <c r="K338" s="71"/>
      <c r="L338" s="53"/>
      <c r="M338" s="2"/>
      <c r="N338" s="1"/>
      <c r="O338" s="218">
        <f t="shared" si="5"/>
        <v>0</v>
      </c>
      <c r="P338" s="218">
        <f>O338+SEPT!P338</f>
        <v>0</v>
      </c>
      <c r="Q338" s="60"/>
      <c r="R338" s="52"/>
      <c r="S338" s="66"/>
      <c r="T338" s="65"/>
      <c r="U338" s="68"/>
      <c r="V338" s="59"/>
      <c r="W338" s="6">
        <f>'CLIENT ENROLLMENT DISCHARGE '!M338</f>
        <v>0</v>
      </c>
      <c r="X338" s="76">
        <f>'CLIENT ENROLLMENT DISCHARGE '!L338</f>
        <v>0</v>
      </c>
      <c r="Y338" s="180" t="s">
        <v>0</v>
      </c>
    </row>
    <row r="339" spans="1:25" ht="50.1" customHeight="1" x14ac:dyDescent="0.25">
      <c r="A339" s="5">
        <v>325</v>
      </c>
      <c r="B339" s="10">
        <f>'CLIENT ENROLLMENT DISCHARGE '!B339</f>
        <v>0</v>
      </c>
      <c r="C339" s="4">
        <f>'CLIENT ENROLLMENT DISCHARGE '!C339</f>
        <v>0</v>
      </c>
      <c r="D339" s="51"/>
      <c r="E339" s="52"/>
      <c r="F339" s="51"/>
      <c r="G339" s="52"/>
      <c r="H339" s="62"/>
      <c r="I339" s="115"/>
      <c r="J339" s="9"/>
      <c r="K339" s="70"/>
      <c r="L339" s="52"/>
      <c r="M339" s="8"/>
      <c r="N339" s="7"/>
      <c r="O339" s="218">
        <f t="shared" si="5"/>
        <v>0</v>
      </c>
      <c r="P339" s="218">
        <f>O339+SEPT!P339</f>
        <v>0</v>
      </c>
      <c r="Q339" s="59"/>
      <c r="R339" s="51"/>
      <c r="S339" s="65"/>
      <c r="T339" s="64"/>
      <c r="U339" s="67"/>
      <c r="V339" s="74"/>
      <c r="W339" s="6">
        <f>'CLIENT ENROLLMENT DISCHARGE '!M339</f>
        <v>0</v>
      </c>
      <c r="X339" s="76">
        <f>'CLIENT ENROLLMENT DISCHARGE '!L339</f>
        <v>0</v>
      </c>
      <c r="Y339" s="180" t="s">
        <v>0</v>
      </c>
    </row>
    <row r="340" spans="1:25" ht="50.1" customHeight="1" x14ac:dyDescent="0.25">
      <c r="A340" s="5">
        <v>326</v>
      </c>
      <c r="B340" s="10">
        <f>'CLIENT ENROLLMENT DISCHARGE '!B340</f>
        <v>0</v>
      </c>
      <c r="C340" s="4">
        <f>'CLIENT ENROLLMENT DISCHARGE '!C340</f>
        <v>0</v>
      </c>
      <c r="D340" s="52"/>
      <c r="E340" s="53"/>
      <c r="F340" s="52"/>
      <c r="G340" s="53"/>
      <c r="H340" s="63"/>
      <c r="I340" s="116"/>
      <c r="J340" s="3"/>
      <c r="K340" s="71"/>
      <c r="L340" s="53"/>
      <c r="M340" s="2"/>
      <c r="N340" s="1"/>
      <c r="O340" s="218">
        <f t="shared" si="5"/>
        <v>0</v>
      </c>
      <c r="P340" s="218">
        <f>O340+SEPT!P340</f>
        <v>0</v>
      </c>
      <c r="Q340" s="60"/>
      <c r="R340" s="52"/>
      <c r="S340" s="66"/>
      <c r="T340" s="65"/>
      <c r="U340" s="68"/>
      <c r="V340" s="75"/>
      <c r="W340" s="6">
        <f>'CLIENT ENROLLMENT DISCHARGE '!M340</f>
        <v>0</v>
      </c>
      <c r="X340" s="76">
        <f>'CLIENT ENROLLMENT DISCHARGE '!L340</f>
        <v>0</v>
      </c>
      <c r="Y340" s="180" t="s">
        <v>0</v>
      </c>
    </row>
    <row r="341" spans="1:25" ht="50.1" customHeight="1" x14ac:dyDescent="0.25">
      <c r="A341" s="5">
        <v>327</v>
      </c>
      <c r="B341" s="10">
        <f>'CLIENT ENROLLMENT DISCHARGE '!B341</f>
        <v>0</v>
      </c>
      <c r="C341" s="4">
        <f>'CLIENT ENROLLMENT DISCHARGE '!C341</f>
        <v>0</v>
      </c>
      <c r="D341" s="51"/>
      <c r="E341" s="52"/>
      <c r="F341" s="51"/>
      <c r="G341" s="52"/>
      <c r="H341" s="62"/>
      <c r="I341" s="115"/>
      <c r="J341" s="9"/>
      <c r="K341" s="70"/>
      <c r="L341" s="52"/>
      <c r="M341" s="8"/>
      <c r="N341" s="7"/>
      <c r="O341" s="218">
        <f t="shared" si="5"/>
        <v>0</v>
      </c>
      <c r="P341" s="218">
        <f>O341+SEPT!P341</f>
        <v>0</v>
      </c>
      <c r="Q341" s="59"/>
      <c r="R341" s="51"/>
      <c r="S341" s="65"/>
      <c r="T341" s="64"/>
      <c r="U341" s="67"/>
      <c r="V341" s="74"/>
      <c r="W341" s="6">
        <f>'CLIENT ENROLLMENT DISCHARGE '!M341</f>
        <v>0</v>
      </c>
      <c r="X341" s="76">
        <f>'CLIENT ENROLLMENT DISCHARGE '!L341</f>
        <v>0</v>
      </c>
      <c r="Y341" s="180" t="s">
        <v>0</v>
      </c>
    </row>
    <row r="342" spans="1:25" ht="50.1" customHeight="1" x14ac:dyDescent="0.25">
      <c r="A342" s="5">
        <v>328</v>
      </c>
      <c r="B342" s="10">
        <f>'CLIENT ENROLLMENT DISCHARGE '!B342</f>
        <v>0</v>
      </c>
      <c r="C342" s="4">
        <f>'CLIENT ENROLLMENT DISCHARGE '!C342</f>
        <v>0</v>
      </c>
      <c r="D342" s="52"/>
      <c r="E342" s="53"/>
      <c r="F342" s="52"/>
      <c r="G342" s="53"/>
      <c r="H342" s="63"/>
      <c r="I342" s="116"/>
      <c r="J342" s="3"/>
      <c r="K342" s="71"/>
      <c r="L342" s="53"/>
      <c r="M342" s="2"/>
      <c r="N342" s="1"/>
      <c r="O342" s="218">
        <f t="shared" si="5"/>
        <v>0</v>
      </c>
      <c r="P342" s="218">
        <f>O342+SEPT!P342</f>
        <v>0</v>
      </c>
      <c r="Q342" s="60"/>
      <c r="R342" s="52"/>
      <c r="S342" s="66"/>
      <c r="T342" s="65"/>
      <c r="U342" s="68"/>
      <c r="V342" s="59"/>
      <c r="W342" s="6">
        <f>'CLIENT ENROLLMENT DISCHARGE '!M342</f>
        <v>0</v>
      </c>
      <c r="X342" s="76">
        <f>'CLIENT ENROLLMENT DISCHARGE '!L342</f>
        <v>0</v>
      </c>
      <c r="Y342" s="180" t="s">
        <v>0</v>
      </c>
    </row>
    <row r="343" spans="1:25" ht="50.1" customHeight="1" x14ac:dyDescent="0.25">
      <c r="A343" s="5">
        <v>329</v>
      </c>
      <c r="B343" s="10">
        <f>'CLIENT ENROLLMENT DISCHARGE '!B343</f>
        <v>0</v>
      </c>
      <c r="C343" s="4">
        <f>'CLIENT ENROLLMENT DISCHARGE '!C343</f>
        <v>0</v>
      </c>
      <c r="D343" s="51"/>
      <c r="E343" s="52"/>
      <c r="F343" s="51"/>
      <c r="G343" s="52"/>
      <c r="H343" s="62"/>
      <c r="I343" s="115"/>
      <c r="J343" s="9"/>
      <c r="K343" s="70"/>
      <c r="L343" s="52"/>
      <c r="M343" s="8"/>
      <c r="N343" s="7"/>
      <c r="O343" s="218">
        <f t="shared" si="5"/>
        <v>0</v>
      </c>
      <c r="P343" s="218">
        <f>O343+SEPT!P343</f>
        <v>0</v>
      </c>
      <c r="Q343" s="59"/>
      <c r="R343" s="51"/>
      <c r="S343" s="65"/>
      <c r="T343" s="64"/>
      <c r="U343" s="67"/>
      <c r="V343" s="74"/>
      <c r="W343" s="6">
        <f>'CLIENT ENROLLMENT DISCHARGE '!M343</f>
        <v>0</v>
      </c>
      <c r="X343" s="76">
        <f>'CLIENT ENROLLMENT DISCHARGE '!L343</f>
        <v>0</v>
      </c>
      <c r="Y343" s="180" t="s">
        <v>0</v>
      </c>
    </row>
    <row r="344" spans="1:25" ht="50.1" customHeight="1" x14ac:dyDescent="0.25">
      <c r="A344" s="5">
        <v>330</v>
      </c>
      <c r="B344" s="10">
        <f>'CLIENT ENROLLMENT DISCHARGE '!B344</f>
        <v>0</v>
      </c>
      <c r="C344" s="4">
        <f>'CLIENT ENROLLMENT DISCHARGE '!C344</f>
        <v>0</v>
      </c>
      <c r="D344" s="52"/>
      <c r="E344" s="53"/>
      <c r="F344" s="52"/>
      <c r="G344" s="53"/>
      <c r="H344" s="63"/>
      <c r="I344" s="116"/>
      <c r="J344" s="3"/>
      <c r="K344" s="71"/>
      <c r="L344" s="53"/>
      <c r="M344" s="2"/>
      <c r="N344" s="1"/>
      <c r="O344" s="218">
        <f t="shared" si="5"/>
        <v>0</v>
      </c>
      <c r="P344" s="218">
        <f>O344+SEPT!P344</f>
        <v>0</v>
      </c>
      <c r="Q344" s="60"/>
      <c r="R344" s="52"/>
      <c r="S344" s="66"/>
      <c r="T344" s="65"/>
      <c r="U344" s="68"/>
      <c r="V344" s="59"/>
      <c r="W344" s="6">
        <f>'CLIENT ENROLLMENT DISCHARGE '!M344</f>
        <v>0</v>
      </c>
      <c r="X344" s="76">
        <f>'CLIENT ENROLLMENT DISCHARGE '!L344</f>
        <v>0</v>
      </c>
      <c r="Y344" s="180" t="s">
        <v>0</v>
      </c>
    </row>
    <row r="345" spans="1:25" ht="50.1" customHeight="1" x14ac:dyDescent="0.25">
      <c r="A345" s="5">
        <v>331</v>
      </c>
      <c r="B345" s="10">
        <f>'CLIENT ENROLLMENT DISCHARGE '!B345</f>
        <v>0</v>
      </c>
      <c r="C345" s="4">
        <f>'CLIENT ENROLLMENT DISCHARGE '!C345</f>
        <v>0</v>
      </c>
      <c r="D345" s="51"/>
      <c r="E345" s="52"/>
      <c r="F345" s="51"/>
      <c r="G345" s="52"/>
      <c r="H345" s="62"/>
      <c r="I345" s="115"/>
      <c r="J345" s="9"/>
      <c r="K345" s="70"/>
      <c r="L345" s="52"/>
      <c r="M345" s="8"/>
      <c r="N345" s="7"/>
      <c r="O345" s="218">
        <f t="shared" si="5"/>
        <v>0</v>
      </c>
      <c r="P345" s="218">
        <f>O345+SEPT!P345</f>
        <v>0</v>
      </c>
      <c r="Q345" s="59"/>
      <c r="R345" s="51"/>
      <c r="S345" s="65"/>
      <c r="T345" s="64"/>
      <c r="U345" s="67"/>
      <c r="V345" s="74"/>
      <c r="W345" s="6">
        <f>'CLIENT ENROLLMENT DISCHARGE '!M345</f>
        <v>0</v>
      </c>
      <c r="X345" s="76">
        <f>'CLIENT ENROLLMENT DISCHARGE '!L345</f>
        <v>0</v>
      </c>
      <c r="Y345" s="180" t="s">
        <v>0</v>
      </c>
    </row>
    <row r="346" spans="1:25" ht="50.1" customHeight="1" x14ac:dyDescent="0.25">
      <c r="A346" s="5">
        <v>332</v>
      </c>
      <c r="B346" s="10">
        <f>'CLIENT ENROLLMENT DISCHARGE '!B346</f>
        <v>0</v>
      </c>
      <c r="C346" s="4">
        <f>'CLIENT ENROLLMENT DISCHARGE '!C346</f>
        <v>0</v>
      </c>
      <c r="D346" s="52"/>
      <c r="E346" s="53"/>
      <c r="F346" s="52"/>
      <c r="G346" s="53"/>
      <c r="H346" s="63"/>
      <c r="I346" s="116"/>
      <c r="J346" s="3"/>
      <c r="K346" s="71"/>
      <c r="L346" s="53"/>
      <c r="M346" s="2"/>
      <c r="N346" s="1"/>
      <c r="O346" s="218">
        <f t="shared" si="5"/>
        <v>0</v>
      </c>
      <c r="P346" s="218">
        <f>O346+SEPT!P346</f>
        <v>0</v>
      </c>
      <c r="Q346" s="60"/>
      <c r="R346" s="52"/>
      <c r="S346" s="66"/>
      <c r="T346" s="65"/>
      <c r="U346" s="68"/>
      <c r="V346" s="59"/>
      <c r="W346" s="6">
        <f>'CLIENT ENROLLMENT DISCHARGE '!M346</f>
        <v>0</v>
      </c>
      <c r="X346" s="76">
        <f>'CLIENT ENROLLMENT DISCHARGE '!L346</f>
        <v>0</v>
      </c>
      <c r="Y346" s="180" t="s">
        <v>0</v>
      </c>
    </row>
    <row r="347" spans="1:25" ht="50.1" customHeight="1" x14ac:dyDescent="0.25">
      <c r="A347" s="5">
        <v>333</v>
      </c>
      <c r="B347" s="10">
        <f>'CLIENT ENROLLMENT DISCHARGE '!B347</f>
        <v>0</v>
      </c>
      <c r="C347" s="4">
        <f>'CLIENT ENROLLMENT DISCHARGE '!C347</f>
        <v>0</v>
      </c>
      <c r="D347" s="51"/>
      <c r="E347" s="52"/>
      <c r="F347" s="51"/>
      <c r="G347" s="52"/>
      <c r="H347" s="62"/>
      <c r="I347" s="115"/>
      <c r="J347" s="9"/>
      <c r="K347" s="70"/>
      <c r="L347" s="52"/>
      <c r="M347" s="8"/>
      <c r="N347" s="7"/>
      <c r="O347" s="218">
        <f t="shared" si="5"/>
        <v>0</v>
      </c>
      <c r="P347" s="218">
        <f>O347+SEPT!P347</f>
        <v>0</v>
      </c>
      <c r="Q347" s="59"/>
      <c r="R347" s="51"/>
      <c r="S347" s="65"/>
      <c r="T347" s="64"/>
      <c r="U347" s="67"/>
      <c r="V347" s="74"/>
      <c r="W347" s="6">
        <f>'CLIENT ENROLLMENT DISCHARGE '!M347</f>
        <v>0</v>
      </c>
      <c r="X347" s="76">
        <f>'CLIENT ENROLLMENT DISCHARGE '!L347</f>
        <v>0</v>
      </c>
      <c r="Y347" s="180" t="s">
        <v>0</v>
      </c>
    </row>
    <row r="348" spans="1:25" ht="50.1" customHeight="1" x14ac:dyDescent="0.25">
      <c r="A348" s="5">
        <v>334</v>
      </c>
      <c r="B348" s="10">
        <f>'CLIENT ENROLLMENT DISCHARGE '!B348</f>
        <v>0</v>
      </c>
      <c r="C348" s="4">
        <f>'CLIENT ENROLLMENT DISCHARGE '!C348</f>
        <v>0</v>
      </c>
      <c r="D348" s="52"/>
      <c r="E348" s="53"/>
      <c r="F348" s="52"/>
      <c r="G348" s="53"/>
      <c r="H348" s="63"/>
      <c r="I348" s="116"/>
      <c r="J348" s="3"/>
      <c r="K348" s="71"/>
      <c r="L348" s="53"/>
      <c r="M348" s="2"/>
      <c r="N348" s="1"/>
      <c r="O348" s="218">
        <f t="shared" si="5"/>
        <v>0</v>
      </c>
      <c r="P348" s="218">
        <f>O348+SEPT!P348</f>
        <v>0</v>
      </c>
      <c r="Q348" s="60"/>
      <c r="R348" s="52"/>
      <c r="S348" s="66"/>
      <c r="T348" s="65"/>
      <c r="U348" s="68"/>
      <c r="V348" s="59"/>
      <c r="W348" s="6">
        <f>'CLIENT ENROLLMENT DISCHARGE '!M348</f>
        <v>0</v>
      </c>
      <c r="X348" s="76">
        <f>'CLIENT ENROLLMENT DISCHARGE '!L348</f>
        <v>0</v>
      </c>
      <c r="Y348" s="180" t="s">
        <v>0</v>
      </c>
    </row>
    <row r="349" spans="1:25" ht="50.1" customHeight="1" x14ac:dyDescent="0.25">
      <c r="A349" s="5">
        <v>335</v>
      </c>
      <c r="B349" s="10">
        <f>'CLIENT ENROLLMENT DISCHARGE '!B349</f>
        <v>0</v>
      </c>
      <c r="C349" s="4">
        <f>'CLIENT ENROLLMENT DISCHARGE '!C349</f>
        <v>0</v>
      </c>
      <c r="D349" s="51"/>
      <c r="E349" s="52"/>
      <c r="F349" s="51"/>
      <c r="G349" s="52"/>
      <c r="H349" s="62"/>
      <c r="I349" s="115"/>
      <c r="J349" s="9"/>
      <c r="K349" s="70"/>
      <c r="L349" s="52"/>
      <c r="M349" s="8"/>
      <c r="N349" s="7"/>
      <c r="O349" s="218">
        <f t="shared" si="5"/>
        <v>0</v>
      </c>
      <c r="P349" s="218">
        <f>O349+SEPT!P349</f>
        <v>0</v>
      </c>
      <c r="Q349" s="59"/>
      <c r="R349" s="51"/>
      <c r="S349" s="65"/>
      <c r="T349" s="64"/>
      <c r="U349" s="67"/>
      <c r="V349" s="74"/>
      <c r="W349" s="6">
        <f>'CLIENT ENROLLMENT DISCHARGE '!M349</f>
        <v>0</v>
      </c>
      <c r="X349" s="76">
        <f>'CLIENT ENROLLMENT DISCHARGE '!L349</f>
        <v>0</v>
      </c>
      <c r="Y349" s="180" t="s">
        <v>0</v>
      </c>
    </row>
    <row r="350" spans="1:25" ht="50.1" customHeight="1" x14ac:dyDescent="0.25">
      <c r="A350" s="5">
        <v>336</v>
      </c>
      <c r="B350" s="10">
        <f>'CLIENT ENROLLMENT DISCHARGE '!B350</f>
        <v>0</v>
      </c>
      <c r="C350" s="4">
        <f>'CLIENT ENROLLMENT DISCHARGE '!C350</f>
        <v>0</v>
      </c>
      <c r="D350" s="52"/>
      <c r="E350" s="53"/>
      <c r="F350" s="52"/>
      <c r="G350" s="53"/>
      <c r="H350" s="63"/>
      <c r="I350" s="116"/>
      <c r="J350" s="3"/>
      <c r="K350" s="71"/>
      <c r="L350" s="53"/>
      <c r="M350" s="2"/>
      <c r="N350" s="1"/>
      <c r="O350" s="218">
        <f t="shared" si="5"/>
        <v>0</v>
      </c>
      <c r="P350" s="218">
        <f>O350+SEPT!P350</f>
        <v>0</v>
      </c>
      <c r="Q350" s="60"/>
      <c r="R350" s="52"/>
      <c r="S350" s="66"/>
      <c r="T350" s="65"/>
      <c r="U350" s="68"/>
      <c r="V350" s="75"/>
      <c r="W350" s="6">
        <f>'CLIENT ENROLLMENT DISCHARGE '!M350</f>
        <v>0</v>
      </c>
      <c r="X350" s="76">
        <f>'CLIENT ENROLLMENT DISCHARGE '!L350</f>
        <v>0</v>
      </c>
      <c r="Y350" s="180" t="s">
        <v>0</v>
      </c>
    </row>
    <row r="351" spans="1:25" ht="50.1" customHeight="1" x14ac:dyDescent="0.25">
      <c r="A351" s="5">
        <v>337</v>
      </c>
      <c r="B351" s="10">
        <f>'CLIENT ENROLLMENT DISCHARGE '!B351</f>
        <v>0</v>
      </c>
      <c r="C351" s="4">
        <f>'CLIENT ENROLLMENT DISCHARGE '!C351</f>
        <v>0</v>
      </c>
      <c r="D351" s="51"/>
      <c r="E351" s="52"/>
      <c r="F351" s="51"/>
      <c r="G351" s="52"/>
      <c r="H351" s="62"/>
      <c r="I351" s="115"/>
      <c r="J351" s="9"/>
      <c r="K351" s="70"/>
      <c r="L351" s="52"/>
      <c r="M351" s="8"/>
      <c r="N351" s="7"/>
      <c r="O351" s="218">
        <f t="shared" si="5"/>
        <v>0</v>
      </c>
      <c r="P351" s="218">
        <f>O351+SEPT!P351</f>
        <v>0</v>
      </c>
      <c r="Q351" s="59"/>
      <c r="R351" s="51"/>
      <c r="S351" s="65"/>
      <c r="T351" s="64"/>
      <c r="U351" s="67"/>
      <c r="V351" s="74"/>
      <c r="W351" s="6">
        <f>'CLIENT ENROLLMENT DISCHARGE '!M351</f>
        <v>0</v>
      </c>
      <c r="X351" s="76">
        <f>'CLIENT ENROLLMENT DISCHARGE '!L351</f>
        <v>0</v>
      </c>
      <c r="Y351" s="180" t="s">
        <v>0</v>
      </c>
    </row>
    <row r="352" spans="1:25" ht="50.1" customHeight="1" x14ac:dyDescent="0.25">
      <c r="A352" s="5">
        <v>338</v>
      </c>
      <c r="B352" s="10">
        <f>'CLIENT ENROLLMENT DISCHARGE '!B352</f>
        <v>0</v>
      </c>
      <c r="C352" s="4">
        <f>'CLIENT ENROLLMENT DISCHARGE '!C352</f>
        <v>0</v>
      </c>
      <c r="D352" s="52"/>
      <c r="E352" s="53"/>
      <c r="F352" s="52"/>
      <c r="G352" s="53"/>
      <c r="H352" s="63"/>
      <c r="I352" s="116"/>
      <c r="J352" s="3"/>
      <c r="K352" s="71"/>
      <c r="L352" s="53"/>
      <c r="M352" s="2"/>
      <c r="N352" s="1"/>
      <c r="O352" s="218">
        <f t="shared" si="5"/>
        <v>0</v>
      </c>
      <c r="P352" s="218">
        <f>O352+SEPT!P352</f>
        <v>0</v>
      </c>
      <c r="Q352" s="60"/>
      <c r="R352" s="52"/>
      <c r="S352" s="66"/>
      <c r="T352" s="65"/>
      <c r="U352" s="68"/>
      <c r="V352" s="59"/>
      <c r="W352" s="6">
        <f>'CLIENT ENROLLMENT DISCHARGE '!M352</f>
        <v>0</v>
      </c>
      <c r="X352" s="76">
        <f>'CLIENT ENROLLMENT DISCHARGE '!L352</f>
        <v>0</v>
      </c>
      <c r="Y352" s="180" t="s">
        <v>0</v>
      </c>
    </row>
    <row r="353" spans="1:25" ht="50.1" customHeight="1" x14ac:dyDescent="0.25">
      <c r="A353" s="5">
        <v>339</v>
      </c>
      <c r="B353" s="10">
        <f>'CLIENT ENROLLMENT DISCHARGE '!B353</f>
        <v>0</v>
      </c>
      <c r="C353" s="4">
        <f>'CLIENT ENROLLMENT DISCHARGE '!C353</f>
        <v>0</v>
      </c>
      <c r="D353" s="51"/>
      <c r="E353" s="52"/>
      <c r="F353" s="51"/>
      <c r="G353" s="52"/>
      <c r="H353" s="62"/>
      <c r="I353" s="115"/>
      <c r="J353" s="9"/>
      <c r="K353" s="70"/>
      <c r="L353" s="52"/>
      <c r="M353" s="8"/>
      <c r="N353" s="7"/>
      <c r="O353" s="218">
        <f t="shared" si="5"/>
        <v>0</v>
      </c>
      <c r="P353" s="218">
        <f>O353+SEPT!P353</f>
        <v>0</v>
      </c>
      <c r="Q353" s="59"/>
      <c r="R353" s="51"/>
      <c r="S353" s="65"/>
      <c r="T353" s="64"/>
      <c r="U353" s="67"/>
      <c r="V353" s="74"/>
      <c r="W353" s="6">
        <f>'CLIENT ENROLLMENT DISCHARGE '!M353</f>
        <v>0</v>
      </c>
      <c r="X353" s="76">
        <f>'CLIENT ENROLLMENT DISCHARGE '!L353</f>
        <v>0</v>
      </c>
      <c r="Y353" s="180" t="s">
        <v>0</v>
      </c>
    </row>
    <row r="354" spans="1:25" ht="50.1" customHeight="1" x14ac:dyDescent="0.25">
      <c r="A354" s="5">
        <v>340</v>
      </c>
      <c r="B354" s="10">
        <f>'CLIENT ENROLLMENT DISCHARGE '!B354</f>
        <v>0</v>
      </c>
      <c r="C354" s="4">
        <f>'CLIENT ENROLLMENT DISCHARGE '!C354</f>
        <v>0</v>
      </c>
      <c r="D354" s="52"/>
      <c r="E354" s="53"/>
      <c r="F354" s="52"/>
      <c r="G354" s="53"/>
      <c r="H354" s="63"/>
      <c r="I354" s="116"/>
      <c r="J354" s="3"/>
      <c r="K354" s="71"/>
      <c r="L354" s="53"/>
      <c r="M354" s="2"/>
      <c r="N354" s="1"/>
      <c r="O354" s="218">
        <f t="shared" si="5"/>
        <v>0</v>
      </c>
      <c r="P354" s="218">
        <f>O354+SEPT!P354</f>
        <v>0</v>
      </c>
      <c r="Q354" s="60"/>
      <c r="R354" s="52"/>
      <c r="S354" s="66"/>
      <c r="T354" s="65"/>
      <c r="U354" s="68"/>
      <c r="V354" s="59"/>
      <c r="W354" s="6">
        <f>'CLIENT ENROLLMENT DISCHARGE '!M354</f>
        <v>0</v>
      </c>
      <c r="X354" s="76">
        <f>'CLIENT ENROLLMENT DISCHARGE '!L354</f>
        <v>0</v>
      </c>
      <c r="Y354" s="180" t="s">
        <v>0</v>
      </c>
    </row>
    <row r="355" spans="1:25" ht="50.1" customHeight="1" x14ac:dyDescent="0.25">
      <c r="A355" s="5">
        <v>341</v>
      </c>
      <c r="B355" s="10">
        <f>'CLIENT ENROLLMENT DISCHARGE '!B355</f>
        <v>0</v>
      </c>
      <c r="C355" s="4">
        <f>'CLIENT ENROLLMENT DISCHARGE '!C355</f>
        <v>0</v>
      </c>
      <c r="D355" s="51"/>
      <c r="E355" s="52"/>
      <c r="F355" s="51"/>
      <c r="G355" s="52"/>
      <c r="H355" s="62"/>
      <c r="I355" s="115"/>
      <c r="J355" s="9"/>
      <c r="K355" s="70"/>
      <c r="L355" s="52"/>
      <c r="M355" s="8"/>
      <c r="N355" s="7"/>
      <c r="O355" s="218">
        <f t="shared" si="5"/>
        <v>0</v>
      </c>
      <c r="P355" s="218">
        <f>O355+SEPT!P355</f>
        <v>0</v>
      </c>
      <c r="Q355" s="59"/>
      <c r="R355" s="51"/>
      <c r="S355" s="65"/>
      <c r="T355" s="64"/>
      <c r="U355" s="67"/>
      <c r="V355" s="74"/>
      <c r="W355" s="6">
        <f>'CLIENT ENROLLMENT DISCHARGE '!M355</f>
        <v>0</v>
      </c>
      <c r="X355" s="76">
        <f>'CLIENT ENROLLMENT DISCHARGE '!L355</f>
        <v>0</v>
      </c>
      <c r="Y355" s="180" t="s">
        <v>0</v>
      </c>
    </row>
    <row r="356" spans="1:25" ht="50.1" customHeight="1" x14ac:dyDescent="0.25">
      <c r="A356" s="5">
        <v>342</v>
      </c>
      <c r="B356" s="10">
        <f>'CLIENT ENROLLMENT DISCHARGE '!B356</f>
        <v>0</v>
      </c>
      <c r="C356" s="4">
        <f>'CLIENT ENROLLMENT DISCHARGE '!C356</f>
        <v>0</v>
      </c>
      <c r="D356" s="52"/>
      <c r="E356" s="53"/>
      <c r="F356" s="52"/>
      <c r="G356" s="53"/>
      <c r="H356" s="63"/>
      <c r="I356" s="116"/>
      <c r="J356" s="3"/>
      <c r="K356" s="71"/>
      <c r="L356" s="53"/>
      <c r="M356" s="2"/>
      <c r="N356" s="1"/>
      <c r="O356" s="218">
        <f t="shared" si="5"/>
        <v>0</v>
      </c>
      <c r="P356" s="218">
        <f>O356+SEPT!P356</f>
        <v>0</v>
      </c>
      <c r="Q356" s="60"/>
      <c r="R356" s="52"/>
      <c r="S356" s="66"/>
      <c r="T356" s="65"/>
      <c r="U356" s="68"/>
      <c r="V356" s="59"/>
      <c r="W356" s="6">
        <f>'CLIENT ENROLLMENT DISCHARGE '!M356</f>
        <v>0</v>
      </c>
      <c r="X356" s="76">
        <f>'CLIENT ENROLLMENT DISCHARGE '!L356</f>
        <v>0</v>
      </c>
      <c r="Y356" s="180" t="s">
        <v>0</v>
      </c>
    </row>
    <row r="357" spans="1:25" ht="50.1" customHeight="1" x14ac:dyDescent="0.25">
      <c r="A357" s="5">
        <v>343</v>
      </c>
      <c r="B357" s="10">
        <f>'CLIENT ENROLLMENT DISCHARGE '!B357</f>
        <v>0</v>
      </c>
      <c r="C357" s="4">
        <f>'CLIENT ENROLLMENT DISCHARGE '!C357</f>
        <v>0</v>
      </c>
      <c r="D357" s="51"/>
      <c r="E357" s="52"/>
      <c r="F357" s="51"/>
      <c r="G357" s="52"/>
      <c r="H357" s="62"/>
      <c r="I357" s="115"/>
      <c r="J357" s="9"/>
      <c r="K357" s="70"/>
      <c r="L357" s="52"/>
      <c r="M357" s="8"/>
      <c r="N357" s="7"/>
      <c r="O357" s="218">
        <f t="shared" si="5"/>
        <v>0</v>
      </c>
      <c r="P357" s="218">
        <f>O357+SEPT!P357</f>
        <v>0</v>
      </c>
      <c r="Q357" s="59"/>
      <c r="R357" s="51"/>
      <c r="S357" s="65"/>
      <c r="T357" s="64"/>
      <c r="U357" s="67"/>
      <c r="V357" s="74"/>
      <c r="W357" s="6">
        <f>'CLIENT ENROLLMENT DISCHARGE '!M357</f>
        <v>0</v>
      </c>
      <c r="X357" s="76">
        <f>'CLIENT ENROLLMENT DISCHARGE '!L357</f>
        <v>0</v>
      </c>
      <c r="Y357" s="180" t="s">
        <v>0</v>
      </c>
    </row>
    <row r="358" spans="1:25" ht="50.1" customHeight="1" x14ac:dyDescent="0.25">
      <c r="A358" s="5">
        <v>344</v>
      </c>
      <c r="B358" s="10">
        <f>'CLIENT ENROLLMENT DISCHARGE '!B358</f>
        <v>0</v>
      </c>
      <c r="C358" s="4">
        <f>'CLIENT ENROLLMENT DISCHARGE '!C358</f>
        <v>0</v>
      </c>
      <c r="D358" s="52"/>
      <c r="E358" s="53"/>
      <c r="F358" s="52"/>
      <c r="G358" s="53"/>
      <c r="H358" s="63"/>
      <c r="I358" s="116"/>
      <c r="J358" s="3"/>
      <c r="K358" s="71"/>
      <c r="L358" s="53"/>
      <c r="M358" s="2"/>
      <c r="N358" s="1"/>
      <c r="O358" s="218">
        <f t="shared" si="5"/>
        <v>0</v>
      </c>
      <c r="P358" s="218">
        <f>O358+SEPT!P358</f>
        <v>0</v>
      </c>
      <c r="Q358" s="60"/>
      <c r="R358" s="52"/>
      <c r="S358" s="66"/>
      <c r="T358" s="65"/>
      <c r="U358" s="68"/>
      <c r="V358" s="59"/>
      <c r="W358" s="6">
        <f>'CLIENT ENROLLMENT DISCHARGE '!M358</f>
        <v>0</v>
      </c>
      <c r="X358" s="76">
        <f>'CLIENT ENROLLMENT DISCHARGE '!L358</f>
        <v>0</v>
      </c>
      <c r="Y358" s="180" t="s">
        <v>0</v>
      </c>
    </row>
    <row r="359" spans="1:25" ht="50.1" customHeight="1" x14ac:dyDescent="0.25">
      <c r="A359" s="5">
        <v>345</v>
      </c>
      <c r="B359" s="10">
        <f>'CLIENT ENROLLMENT DISCHARGE '!B359</f>
        <v>0</v>
      </c>
      <c r="C359" s="4">
        <f>'CLIENT ENROLLMENT DISCHARGE '!C359</f>
        <v>0</v>
      </c>
      <c r="D359" s="51"/>
      <c r="E359" s="52"/>
      <c r="F359" s="51"/>
      <c r="G359" s="52"/>
      <c r="H359" s="62"/>
      <c r="I359" s="115"/>
      <c r="J359" s="9"/>
      <c r="K359" s="70"/>
      <c r="L359" s="52"/>
      <c r="M359" s="8"/>
      <c r="N359" s="7"/>
      <c r="O359" s="218">
        <f t="shared" si="5"/>
        <v>0</v>
      </c>
      <c r="P359" s="218">
        <f>O359+SEPT!P359</f>
        <v>0</v>
      </c>
      <c r="Q359" s="59"/>
      <c r="R359" s="51"/>
      <c r="S359" s="65"/>
      <c r="T359" s="64"/>
      <c r="U359" s="67"/>
      <c r="V359" s="74"/>
      <c r="W359" s="6">
        <f>'CLIENT ENROLLMENT DISCHARGE '!M359</f>
        <v>0</v>
      </c>
      <c r="X359" s="76">
        <f>'CLIENT ENROLLMENT DISCHARGE '!L359</f>
        <v>0</v>
      </c>
      <c r="Y359" s="180" t="s">
        <v>0</v>
      </c>
    </row>
    <row r="360" spans="1:25" ht="50.1" customHeight="1" x14ac:dyDescent="0.25">
      <c r="A360" s="5">
        <v>346</v>
      </c>
      <c r="B360" s="10">
        <f>'CLIENT ENROLLMENT DISCHARGE '!B360</f>
        <v>0</v>
      </c>
      <c r="C360" s="4">
        <f>'CLIENT ENROLLMENT DISCHARGE '!C360</f>
        <v>0</v>
      </c>
      <c r="D360" s="52"/>
      <c r="E360" s="53"/>
      <c r="F360" s="52"/>
      <c r="G360" s="53"/>
      <c r="H360" s="63"/>
      <c r="I360" s="116"/>
      <c r="J360" s="3"/>
      <c r="K360" s="71"/>
      <c r="L360" s="53"/>
      <c r="M360" s="2"/>
      <c r="N360" s="1"/>
      <c r="O360" s="218">
        <f t="shared" si="5"/>
        <v>0</v>
      </c>
      <c r="P360" s="218">
        <f>O360+SEPT!P360</f>
        <v>0</v>
      </c>
      <c r="Q360" s="60"/>
      <c r="R360" s="52"/>
      <c r="S360" s="66"/>
      <c r="T360" s="65"/>
      <c r="U360" s="68"/>
      <c r="V360" s="75"/>
      <c r="W360" s="6">
        <f>'CLIENT ENROLLMENT DISCHARGE '!M360</f>
        <v>0</v>
      </c>
      <c r="X360" s="76">
        <f>'CLIENT ENROLLMENT DISCHARGE '!L360</f>
        <v>0</v>
      </c>
      <c r="Y360" s="180" t="s">
        <v>0</v>
      </c>
    </row>
    <row r="361" spans="1:25" ht="50.1" customHeight="1" x14ac:dyDescent="0.25">
      <c r="A361" s="5">
        <v>347</v>
      </c>
      <c r="B361" s="10">
        <f>'CLIENT ENROLLMENT DISCHARGE '!B361</f>
        <v>0</v>
      </c>
      <c r="C361" s="4">
        <f>'CLIENT ENROLLMENT DISCHARGE '!C361</f>
        <v>0</v>
      </c>
      <c r="D361" s="51"/>
      <c r="E361" s="52"/>
      <c r="F361" s="51"/>
      <c r="G361" s="52"/>
      <c r="H361" s="62"/>
      <c r="I361" s="115"/>
      <c r="J361" s="9"/>
      <c r="K361" s="70"/>
      <c r="L361" s="52"/>
      <c r="M361" s="8"/>
      <c r="N361" s="7"/>
      <c r="O361" s="218">
        <f t="shared" si="5"/>
        <v>0</v>
      </c>
      <c r="P361" s="218">
        <f>O361+SEPT!P361</f>
        <v>0</v>
      </c>
      <c r="Q361" s="59"/>
      <c r="R361" s="51"/>
      <c r="S361" s="65"/>
      <c r="T361" s="64"/>
      <c r="U361" s="67"/>
      <c r="V361" s="74"/>
      <c r="W361" s="6">
        <f>'CLIENT ENROLLMENT DISCHARGE '!M361</f>
        <v>0</v>
      </c>
      <c r="X361" s="76">
        <f>'CLIENT ENROLLMENT DISCHARGE '!L361</f>
        <v>0</v>
      </c>
      <c r="Y361" s="180" t="s">
        <v>0</v>
      </c>
    </row>
    <row r="362" spans="1:25" ht="50.1" customHeight="1" x14ac:dyDescent="0.25">
      <c r="A362" s="5">
        <v>348</v>
      </c>
      <c r="B362" s="10">
        <f>'CLIENT ENROLLMENT DISCHARGE '!B362</f>
        <v>0</v>
      </c>
      <c r="C362" s="4">
        <f>'CLIENT ENROLLMENT DISCHARGE '!C362</f>
        <v>0</v>
      </c>
      <c r="D362" s="52"/>
      <c r="E362" s="53"/>
      <c r="F362" s="52"/>
      <c r="G362" s="53"/>
      <c r="H362" s="63"/>
      <c r="I362" s="116"/>
      <c r="J362" s="3"/>
      <c r="K362" s="71"/>
      <c r="L362" s="53"/>
      <c r="M362" s="2"/>
      <c r="N362" s="1"/>
      <c r="O362" s="218">
        <f t="shared" si="5"/>
        <v>0</v>
      </c>
      <c r="P362" s="218">
        <f>O362+SEPT!P362</f>
        <v>0</v>
      </c>
      <c r="Q362" s="60"/>
      <c r="R362" s="52"/>
      <c r="S362" s="66"/>
      <c r="T362" s="65"/>
      <c r="U362" s="68"/>
      <c r="V362" s="59"/>
      <c r="W362" s="6">
        <f>'CLIENT ENROLLMENT DISCHARGE '!M362</f>
        <v>0</v>
      </c>
      <c r="X362" s="76">
        <f>'CLIENT ENROLLMENT DISCHARGE '!L362</f>
        <v>0</v>
      </c>
      <c r="Y362" s="180" t="s">
        <v>0</v>
      </c>
    </row>
    <row r="363" spans="1:25" ht="50.1" customHeight="1" x14ac:dyDescent="0.25">
      <c r="A363" s="5">
        <v>349</v>
      </c>
      <c r="B363" s="10">
        <f>'CLIENT ENROLLMENT DISCHARGE '!B363</f>
        <v>0</v>
      </c>
      <c r="C363" s="4">
        <f>'CLIENT ENROLLMENT DISCHARGE '!C363</f>
        <v>0</v>
      </c>
      <c r="D363" s="51"/>
      <c r="E363" s="52"/>
      <c r="F363" s="51"/>
      <c r="G363" s="52"/>
      <c r="H363" s="62"/>
      <c r="I363" s="115"/>
      <c r="J363" s="9"/>
      <c r="K363" s="70"/>
      <c r="L363" s="52"/>
      <c r="M363" s="8"/>
      <c r="N363" s="7"/>
      <c r="O363" s="218">
        <f t="shared" si="5"/>
        <v>0</v>
      </c>
      <c r="P363" s="218">
        <f>O363+SEPT!P363</f>
        <v>0</v>
      </c>
      <c r="Q363" s="59"/>
      <c r="R363" s="51"/>
      <c r="S363" s="65"/>
      <c r="T363" s="64"/>
      <c r="U363" s="67"/>
      <c r="V363" s="74"/>
      <c r="W363" s="6">
        <f>'CLIENT ENROLLMENT DISCHARGE '!M363</f>
        <v>0</v>
      </c>
      <c r="X363" s="76">
        <f>'CLIENT ENROLLMENT DISCHARGE '!L363</f>
        <v>0</v>
      </c>
      <c r="Y363" s="180" t="s">
        <v>0</v>
      </c>
    </row>
    <row r="364" spans="1:25" ht="50.1" customHeight="1" x14ac:dyDescent="0.25">
      <c r="A364" s="5">
        <v>350</v>
      </c>
      <c r="B364" s="10">
        <f>'CLIENT ENROLLMENT DISCHARGE '!B364</f>
        <v>0</v>
      </c>
      <c r="C364" s="4">
        <f>'CLIENT ENROLLMENT DISCHARGE '!C364</f>
        <v>0</v>
      </c>
      <c r="D364" s="52"/>
      <c r="E364" s="53"/>
      <c r="F364" s="52"/>
      <c r="G364" s="53"/>
      <c r="H364" s="63"/>
      <c r="I364" s="116"/>
      <c r="J364" s="3"/>
      <c r="K364" s="71"/>
      <c r="L364" s="53"/>
      <c r="M364" s="2"/>
      <c r="N364" s="1"/>
      <c r="O364" s="218">
        <f t="shared" si="5"/>
        <v>0</v>
      </c>
      <c r="P364" s="218">
        <f>O364+SEPT!P364</f>
        <v>0</v>
      </c>
      <c r="Q364" s="60"/>
      <c r="R364" s="52"/>
      <c r="S364" s="66"/>
      <c r="T364" s="65"/>
      <c r="U364" s="68"/>
      <c r="V364" s="59"/>
      <c r="W364" s="6">
        <f>'CLIENT ENROLLMENT DISCHARGE '!M364</f>
        <v>0</v>
      </c>
      <c r="X364" s="76">
        <f>'CLIENT ENROLLMENT DISCHARGE '!L364</f>
        <v>0</v>
      </c>
      <c r="Y364" s="180" t="s">
        <v>0</v>
      </c>
    </row>
    <row r="365" spans="1:25" ht="50.1" customHeight="1" x14ac:dyDescent="0.25">
      <c r="A365" s="5">
        <v>351</v>
      </c>
      <c r="B365" s="10">
        <f>'CLIENT ENROLLMENT DISCHARGE '!B365</f>
        <v>0</v>
      </c>
      <c r="C365" s="4">
        <f>'CLIENT ENROLLMENT DISCHARGE '!C365</f>
        <v>0</v>
      </c>
      <c r="D365" s="51"/>
      <c r="E365" s="52"/>
      <c r="F365" s="51"/>
      <c r="G365" s="52"/>
      <c r="H365" s="62"/>
      <c r="I365" s="115"/>
      <c r="J365" s="9"/>
      <c r="K365" s="70"/>
      <c r="L365" s="52"/>
      <c r="M365" s="8"/>
      <c r="N365" s="7"/>
      <c r="O365" s="218">
        <f t="shared" si="5"/>
        <v>0</v>
      </c>
      <c r="P365" s="218">
        <f>O365+SEPT!P365</f>
        <v>0</v>
      </c>
      <c r="Q365" s="59"/>
      <c r="R365" s="51"/>
      <c r="S365" s="65"/>
      <c r="T365" s="64"/>
      <c r="U365" s="67"/>
      <c r="V365" s="74"/>
      <c r="W365" s="6">
        <f>'CLIENT ENROLLMENT DISCHARGE '!M365</f>
        <v>0</v>
      </c>
      <c r="X365" s="76">
        <f>'CLIENT ENROLLMENT DISCHARGE '!L365</f>
        <v>0</v>
      </c>
      <c r="Y365" s="180" t="s">
        <v>0</v>
      </c>
    </row>
    <row r="366" spans="1:25" ht="50.1" customHeight="1" x14ac:dyDescent="0.25">
      <c r="A366" s="5">
        <v>352</v>
      </c>
      <c r="B366" s="10">
        <f>'CLIENT ENROLLMENT DISCHARGE '!B366</f>
        <v>0</v>
      </c>
      <c r="C366" s="4">
        <f>'CLIENT ENROLLMENT DISCHARGE '!C366</f>
        <v>0</v>
      </c>
      <c r="D366" s="52"/>
      <c r="E366" s="53"/>
      <c r="F366" s="52"/>
      <c r="G366" s="53"/>
      <c r="H366" s="63"/>
      <c r="I366" s="116"/>
      <c r="J366" s="3"/>
      <c r="K366" s="71"/>
      <c r="L366" s="53"/>
      <c r="M366" s="2"/>
      <c r="N366" s="1"/>
      <c r="O366" s="218">
        <f t="shared" si="5"/>
        <v>0</v>
      </c>
      <c r="P366" s="218">
        <f>O366+SEPT!P366</f>
        <v>0</v>
      </c>
      <c r="Q366" s="60"/>
      <c r="R366" s="52"/>
      <c r="S366" s="66"/>
      <c r="T366" s="65"/>
      <c r="U366" s="68"/>
      <c r="V366" s="59"/>
      <c r="W366" s="6">
        <f>'CLIENT ENROLLMENT DISCHARGE '!M366</f>
        <v>0</v>
      </c>
      <c r="X366" s="76">
        <f>'CLIENT ENROLLMENT DISCHARGE '!L366</f>
        <v>0</v>
      </c>
      <c r="Y366" s="180" t="s">
        <v>0</v>
      </c>
    </row>
    <row r="367" spans="1:25" ht="50.1" customHeight="1" x14ac:dyDescent="0.25">
      <c r="A367" s="5">
        <v>353</v>
      </c>
      <c r="B367" s="10">
        <f>'CLIENT ENROLLMENT DISCHARGE '!B367</f>
        <v>0</v>
      </c>
      <c r="C367" s="4">
        <f>'CLIENT ENROLLMENT DISCHARGE '!C367</f>
        <v>0</v>
      </c>
      <c r="D367" s="51"/>
      <c r="E367" s="52"/>
      <c r="F367" s="51"/>
      <c r="G367" s="52"/>
      <c r="H367" s="62"/>
      <c r="I367" s="115"/>
      <c r="J367" s="9"/>
      <c r="K367" s="70"/>
      <c r="L367" s="52"/>
      <c r="M367" s="8"/>
      <c r="N367" s="7"/>
      <c r="O367" s="218">
        <f t="shared" si="5"/>
        <v>0</v>
      </c>
      <c r="P367" s="218">
        <f>O367+SEPT!P367</f>
        <v>0</v>
      </c>
      <c r="Q367" s="59"/>
      <c r="R367" s="51"/>
      <c r="S367" s="65"/>
      <c r="T367" s="64"/>
      <c r="U367" s="67"/>
      <c r="V367" s="74"/>
      <c r="W367" s="6">
        <f>'CLIENT ENROLLMENT DISCHARGE '!M367</f>
        <v>0</v>
      </c>
      <c r="X367" s="76">
        <f>'CLIENT ENROLLMENT DISCHARGE '!L367</f>
        <v>0</v>
      </c>
      <c r="Y367" s="180" t="s">
        <v>0</v>
      </c>
    </row>
    <row r="368" spans="1:25" ht="50.1" customHeight="1" x14ac:dyDescent="0.25">
      <c r="A368" s="5">
        <v>354</v>
      </c>
      <c r="B368" s="10">
        <f>'CLIENT ENROLLMENT DISCHARGE '!B368</f>
        <v>0</v>
      </c>
      <c r="C368" s="4">
        <f>'CLIENT ENROLLMENT DISCHARGE '!C368</f>
        <v>0</v>
      </c>
      <c r="D368" s="52"/>
      <c r="E368" s="53"/>
      <c r="F368" s="52"/>
      <c r="G368" s="53"/>
      <c r="H368" s="63"/>
      <c r="I368" s="116"/>
      <c r="J368" s="3"/>
      <c r="K368" s="71"/>
      <c r="L368" s="53"/>
      <c r="M368" s="2"/>
      <c r="N368" s="1"/>
      <c r="O368" s="218">
        <f t="shared" si="5"/>
        <v>0</v>
      </c>
      <c r="P368" s="218">
        <f>O368+SEPT!P368</f>
        <v>0</v>
      </c>
      <c r="Q368" s="60"/>
      <c r="R368" s="52"/>
      <c r="S368" s="66"/>
      <c r="T368" s="65"/>
      <c r="U368" s="68"/>
      <c r="V368" s="59"/>
      <c r="W368" s="6">
        <f>'CLIENT ENROLLMENT DISCHARGE '!M368</f>
        <v>0</v>
      </c>
      <c r="X368" s="76">
        <f>'CLIENT ENROLLMENT DISCHARGE '!L368</f>
        <v>0</v>
      </c>
      <c r="Y368" s="180" t="s">
        <v>0</v>
      </c>
    </row>
    <row r="369" spans="1:25" ht="50.1" customHeight="1" x14ac:dyDescent="0.25">
      <c r="A369" s="5">
        <v>355</v>
      </c>
      <c r="B369" s="10">
        <f>'CLIENT ENROLLMENT DISCHARGE '!B369</f>
        <v>0</v>
      </c>
      <c r="C369" s="4">
        <f>'CLIENT ENROLLMENT DISCHARGE '!C369</f>
        <v>0</v>
      </c>
      <c r="D369" s="51"/>
      <c r="E369" s="52"/>
      <c r="F369" s="51"/>
      <c r="G369" s="52"/>
      <c r="H369" s="62"/>
      <c r="I369" s="115"/>
      <c r="J369" s="9"/>
      <c r="K369" s="70"/>
      <c r="L369" s="52"/>
      <c r="M369" s="8"/>
      <c r="N369" s="7"/>
      <c r="O369" s="218">
        <f t="shared" si="5"/>
        <v>0</v>
      </c>
      <c r="P369" s="218">
        <f>O369+SEPT!P369</f>
        <v>0</v>
      </c>
      <c r="Q369" s="59"/>
      <c r="R369" s="51"/>
      <c r="S369" s="65"/>
      <c r="T369" s="64"/>
      <c r="U369" s="67"/>
      <c r="V369" s="74"/>
      <c r="W369" s="6">
        <f>'CLIENT ENROLLMENT DISCHARGE '!M369</f>
        <v>0</v>
      </c>
      <c r="X369" s="76">
        <f>'CLIENT ENROLLMENT DISCHARGE '!L369</f>
        <v>0</v>
      </c>
      <c r="Y369" s="180" t="s">
        <v>0</v>
      </c>
    </row>
    <row r="370" spans="1:25" ht="50.1" customHeight="1" x14ac:dyDescent="0.25">
      <c r="A370" s="5">
        <v>356</v>
      </c>
      <c r="B370" s="10">
        <f>'CLIENT ENROLLMENT DISCHARGE '!B370</f>
        <v>0</v>
      </c>
      <c r="C370" s="4">
        <f>'CLIENT ENROLLMENT DISCHARGE '!C370</f>
        <v>0</v>
      </c>
      <c r="D370" s="52"/>
      <c r="E370" s="53"/>
      <c r="F370" s="52"/>
      <c r="G370" s="53"/>
      <c r="H370" s="63"/>
      <c r="I370" s="116"/>
      <c r="J370" s="3"/>
      <c r="K370" s="71"/>
      <c r="L370" s="53"/>
      <c r="M370" s="2"/>
      <c r="N370" s="1"/>
      <c r="O370" s="218">
        <f t="shared" si="5"/>
        <v>0</v>
      </c>
      <c r="P370" s="218">
        <f>O370+SEPT!P370</f>
        <v>0</v>
      </c>
      <c r="Q370" s="60"/>
      <c r="R370" s="52"/>
      <c r="S370" s="66"/>
      <c r="T370" s="65"/>
      <c r="U370" s="68"/>
      <c r="V370" s="75"/>
      <c r="W370" s="6">
        <f>'CLIENT ENROLLMENT DISCHARGE '!M370</f>
        <v>0</v>
      </c>
      <c r="X370" s="76">
        <f>'CLIENT ENROLLMENT DISCHARGE '!L370</f>
        <v>0</v>
      </c>
      <c r="Y370" s="180" t="s">
        <v>0</v>
      </c>
    </row>
    <row r="371" spans="1:25" ht="50.1" customHeight="1" x14ac:dyDescent="0.25">
      <c r="A371" s="5">
        <v>357</v>
      </c>
      <c r="B371" s="10">
        <f>'CLIENT ENROLLMENT DISCHARGE '!B371</f>
        <v>0</v>
      </c>
      <c r="C371" s="4">
        <f>'CLIENT ENROLLMENT DISCHARGE '!C371</f>
        <v>0</v>
      </c>
      <c r="D371" s="51"/>
      <c r="E371" s="52"/>
      <c r="F371" s="51"/>
      <c r="G371" s="52"/>
      <c r="H371" s="62"/>
      <c r="I371" s="115"/>
      <c r="J371" s="9"/>
      <c r="K371" s="70"/>
      <c r="L371" s="52"/>
      <c r="M371" s="8"/>
      <c r="N371" s="7"/>
      <c r="O371" s="218">
        <f t="shared" si="5"/>
        <v>0</v>
      </c>
      <c r="P371" s="218">
        <f>O371+SEPT!P371</f>
        <v>0</v>
      </c>
      <c r="Q371" s="59"/>
      <c r="R371" s="51"/>
      <c r="S371" s="65"/>
      <c r="T371" s="64"/>
      <c r="U371" s="67"/>
      <c r="V371" s="74"/>
      <c r="W371" s="6">
        <f>'CLIENT ENROLLMENT DISCHARGE '!M371</f>
        <v>0</v>
      </c>
      <c r="X371" s="76">
        <f>'CLIENT ENROLLMENT DISCHARGE '!L371</f>
        <v>0</v>
      </c>
      <c r="Y371" s="180" t="s">
        <v>0</v>
      </c>
    </row>
    <row r="372" spans="1:25" ht="50.1" customHeight="1" x14ac:dyDescent="0.25">
      <c r="A372" s="5">
        <v>358</v>
      </c>
      <c r="B372" s="10">
        <f>'CLIENT ENROLLMENT DISCHARGE '!B372</f>
        <v>0</v>
      </c>
      <c r="C372" s="4">
        <f>'CLIENT ENROLLMENT DISCHARGE '!C372</f>
        <v>0</v>
      </c>
      <c r="D372" s="52"/>
      <c r="E372" s="53"/>
      <c r="F372" s="52"/>
      <c r="G372" s="53"/>
      <c r="H372" s="63"/>
      <c r="I372" s="116"/>
      <c r="J372" s="3"/>
      <c r="K372" s="71"/>
      <c r="L372" s="53"/>
      <c r="M372" s="2"/>
      <c r="N372" s="1"/>
      <c r="O372" s="218">
        <f t="shared" si="5"/>
        <v>0</v>
      </c>
      <c r="P372" s="218">
        <f>O372+SEPT!P372</f>
        <v>0</v>
      </c>
      <c r="Q372" s="60"/>
      <c r="R372" s="52"/>
      <c r="S372" s="66"/>
      <c r="T372" s="65"/>
      <c r="U372" s="68"/>
      <c r="V372" s="59"/>
      <c r="W372" s="6">
        <f>'CLIENT ENROLLMENT DISCHARGE '!M372</f>
        <v>0</v>
      </c>
      <c r="X372" s="76">
        <f>'CLIENT ENROLLMENT DISCHARGE '!L372</f>
        <v>0</v>
      </c>
      <c r="Y372" s="180" t="s">
        <v>0</v>
      </c>
    </row>
    <row r="373" spans="1:25" ht="50.1" customHeight="1" x14ac:dyDescent="0.25">
      <c r="A373" s="5">
        <v>359</v>
      </c>
      <c r="B373" s="10">
        <f>'CLIENT ENROLLMENT DISCHARGE '!B373</f>
        <v>0</v>
      </c>
      <c r="C373" s="4">
        <f>'CLIENT ENROLLMENT DISCHARGE '!C373</f>
        <v>0</v>
      </c>
      <c r="D373" s="51"/>
      <c r="E373" s="52"/>
      <c r="F373" s="51"/>
      <c r="G373" s="52"/>
      <c r="H373" s="62"/>
      <c r="I373" s="115"/>
      <c r="J373" s="9"/>
      <c r="K373" s="70"/>
      <c r="L373" s="52"/>
      <c r="M373" s="8"/>
      <c r="N373" s="7"/>
      <c r="O373" s="218">
        <f t="shared" si="5"/>
        <v>0</v>
      </c>
      <c r="P373" s="218">
        <f>O373+SEPT!P373</f>
        <v>0</v>
      </c>
      <c r="Q373" s="59"/>
      <c r="R373" s="51"/>
      <c r="S373" s="65"/>
      <c r="T373" s="64"/>
      <c r="U373" s="67"/>
      <c r="V373" s="74"/>
      <c r="W373" s="6">
        <f>'CLIENT ENROLLMENT DISCHARGE '!M373</f>
        <v>0</v>
      </c>
      <c r="X373" s="76">
        <f>'CLIENT ENROLLMENT DISCHARGE '!L373</f>
        <v>0</v>
      </c>
      <c r="Y373" s="180" t="s">
        <v>0</v>
      </c>
    </row>
    <row r="374" spans="1:25" ht="50.1" customHeight="1" x14ac:dyDescent="0.25">
      <c r="A374" s="5">
        <v>360</v>
      </c>
      <c r="B374" s="10">
        <f>'CLIENT ENROLLMENT DISCHARGE '!B374</f>
        <v>0</v>
      </c>
      <c r="C374" s="4">
        <f>'CLIENT ENROLLMENT DISCHARGE '!C374</f>
        <v>0</v>
      </c>
      <c r="D374" s="52"/>
      <c r="E374" s="53"/>
      <c r="F374" s="52"/>
      <c r="G374" s="53"/>
      <c r="H374" s="63"/>
      <c r="I374" s="116"/>
      <c r="J374" s="3"/>
      <c r="K374" s="71"/>
      <c r="L374" s="53"/>
      <c r="M374" s="2"/>
      <c r="N374" s="1"/>
      <c r="O374" s="218">
        <f t="shared" si="5"/>
        <v>0</v>
      </c>
      <c r="P374" s="218">
        <f>O374+SEPT!P374</f>
        <v>0</v>
      </c>
      <c r="Q374" s="60"/>
      <c r="R374" s="52"/>
      <c r="S374" s="66"/>
      <c r="T374" s="65"/>
      <c r="U374" s="68"/>
      <c r="V374" s="59"/>
      <c r="W374" s="6">
        <f>'CLIENT ENROLLMENT DISCHARGE '!M374</f>
        <v>0</v>
      </c>
      <c r="X374" s="76">
        <f>'CLIENT ENROLLMENT DISCHARGE '!L374</f>
        <v>0</v>
      </c>
      <c r="Y374" s="180" t="s">
        <v>0</v>
      </c>
    </row>
    <row r="375" spans="1:25" ht="50.1" customHeight="1" x14ac:dyDescent="0.25">
      <c r="A375" s="5">
        <v>361</v>
      </c>
      <c r="B375" s="10">
        <f>'CLIENT ENROLLMENT DISCHARGE '!B375</f>
        <v>0</v>
      </c>
      <c r="C375" s="4">
        <f>'CLIENT ENROLLMENT DISCHARGE '!C375</f>
        <v>0</v>
      </c>
      <c r="D375" s="51"/>
      <c r="E375" s="52"/>
      <c r="F375" s="51"/>
      <c r="G375" s="52"/>
      <c r="H375" s="62"/>
      <c r="I375" s="115"/>
      <c r="J375" s="9"/>
      <c r="K375" s="70"/>
      <c r="L375" s="52"/>
      <c r="M375" s="8"/>
      <c r="N375" s="7"/>
      <c r="O375" s="218">
        <f t="shared" si="5"/>
        <v>0</v>
      </c>
      <c r="P375" s="218">
        <f>O375+SEPT!P375</f>
        <v>0</v>
      </c>
      <c r="Q375" s="59"/>
      <c r="R375" s="51"/>
      <c r="S375" s="65"/>
      <c r="T375" s="64"/>
      <c r="U375" s="67"/>
      <c r="V375" s="74"/>
      <c r="W375" s="6">
        <f>'CLIENT ENROLLMENT DISCHARGE '!M375</f>
        <v>0</v>
      </c>
      <c r="X375" s="76">
        <f>'CLIENT ENROLLMENT DISCHARGE '!L375</f>
        <v>0</v>
      </c>
      <c r="Y375" s="180" t="s">
        <v>0</v>
      </c>
    </row>
    <row r="376" spans="1:25" ht="50.1" customHeight="1" x14ac:dyDescent="0.25">
      <c r="A376" s="5">
        <v>362</v>
      </c>
      <c r="B376" s="10">
        <f>'CLIENT ENROLLMENT DISCHARGE '!B376</f>
        <v>0</v>
      </c>
      <c r="C376" s="4">
        <f>'CLIENT ENROLLMENT DISCHARGE '!C376</f>
        <v>0</v>
      </c>
      <c r="D376" s="52"/>
      <c r="E376" s="53"/>
      <c r="F376" s="52"/>
      <c r="G376" s="53"/>
      <c r="H376" s="63"/>
      <c r="I376" s="116"/>
      <c r="J376" s="3"/>
      <c r="K376" s="71"/>
      <c r="L376" s="53"/>
      <c r="M376" s="2"/>
      <c r="N376" s="1"/>
      <c r="O376" s="218">
        <f t="shared" si="5"/>
        <v>0</v>
      </c>
      <c r="P376" s="218">
        <f>O376+SEPT!P376</f>
        <v>0</v>
      </c>
      <c r="Q376" s="60"/>
      <c r="R376" s="52"/>
      <c r="S376" s="66"/>
      <c r="T376" s="65"/>
      <c r="U376" s="68"/>
      <c r="V376" s="59"/>
      <c r="W376" s="6">
        <f>'CLIENT ENROLLMENT DISCHARGE '!M376</f>
        <v>0</v>
      </c>
      <c r="X376" s="76">
        <f>'CLIENT ENROLLMENT DISCHARGE '!L376</f>
        <v>0</v>
      </c>
      <c r="Y376" s="180" t="s">
        <v>0</v>
      </c>
    </row>
    <row r="377" spans="1:25" ht="50.1" customHeight="1" x14ac:dyDescent="0.25">
      <c r="A377" s="5">
        <v>363</v>
      </c>
      <c r="B377" s="10">
        <f>'CLIENT ENROLLMENT DISCHARGE '!B377</f>
        <v>0</v>
      </c>
      <c r="C377" s="4">
        <f>'CLIENT ENROLLMENT DISCHARGE '!C377</f>
        <v>0</v>
      </c>
      <c r="D377" s="51"/>
      <c r="E377" s="52"/>
      <c r="F377" s="51"/>
      <c r="G377" s="52"/>
      <c r="H377" s="62"/>
      <c r="I377" s="115"/>
      <c r="J377" s="9"/>
      <c r="K377" s="70"/>
      <c r="L377" s="52"/>
      <c r="M377" s="8"/>
      <c r="N377" s="7"/>
      <c r="O377" s="218">
        <f t="shared" si="5"/>
        <v>0</v>
      </c>
      <c r="P377" s="218">
        <f>O377+SEPT!P377</f>
        <v>0</v>
      </c>
      <c r="Q377" s="59"/>
      <c r="R377" s="51"/>
      <c r="S377" s="65"/>
      <c r="T377" s="64"/>
      <c r="U377" s="67"/>
      <c r="V377" s="74"/>
      <c r="W377" s="6">
        <f>'CLIENT ENROLLMENT DISCHARGE '!M377</f>
        <v>0</v>
      </c>
      <c r="X377" s="76">
        <f>'CLIENT ENROLLMENT DISCHARGE '!L377</f>
        <v>0</v>
      </c>
      <c r="Y377" s="180" t="s">
        <v>0</v>
      </c>
    </row>
    <row r="378" spans="1:25" ht="50.1" customHeight="1" x14ac:dyDescent="0.25">
      <c r="A378" s="5">
        <v>364</v>
      </c>
      <c r="B378" s="10">
        <f>'CLIENT ENROLLMENT DISCHARGE '!B378</f>
        <v>0</v>
      </c>
      <c r="C378" s="4">
        <f>'CLIENT ENROLLMENT DISCHARGE '!C378</f>
        <v>0</v>
      </c>
      <c r="D378" s="52"/>
      <c r="E378" s="53"/>
      <c r="F378" s="52"/>
      <c r="G378" s="53"/>
      <c r="H378" s="63"/>
      <c r="I378" s="116"/>
      <c r="J378" s="3"/>
      <c r="K378" s="71"/>
      <c r="L378" s="53"/>
      <c r="M378" s="2"/>
      <c r="N378" s="1"/>
      <c r="O378" s="218">
        <f t="shared" si="5"/>
        <v>0</v>
      </c>
      <c r="P378" s="218">
        <f>O378+SEPT!P378</f>
        <v>0</v>
      </c>
      <c r="Q378" s="60"/>
      <c r="R378" s="52"/>
      <c r="S378" s="66"/>
      <c r="T378" s="65"/>
      <c r="U378" s="68"/>
      <c r="V378" s="59"/>
      <c r="W378" s="6">
        <f>'CLIENT ENROLLMENT DISCHARGE '!M378</f>
        <v>0</v>
      </c>
      <c r="X378" s="76">
        <f>'CLIENT ENROLLMENT DISCHARGE '!L378</f>
        <v>0</v>
      </c>
      <c r="Y378" s="180" t="s">
        <v>0</v>
      </c>
    </row>
    <row r="379" spans="1:25" ht="50.1" customHeight="1" x14ac:dyDescent="0.25">
      <c r="A379" s="5">
        <v>365</v>
      </c>
      <c r="B379" s="10">
        <f>'CLIENT ENROLLMENT DISCHARGE '!B379</f>
        <v>0</v>
      </c>
      <c r="C379" s="4">
        <f>'CLIENT ENROLLMENT DISCHARGE '!C379</f>
        <v>0</v>
      </c>
      <c r="D379" s="51"/>
      <c r="E379" s="52"/>
      <c r="F379" s="51"/>
      <c r="G379" s="52"/>
      <c r="H379" s="62"/>
      <c r="I379" s="115"/>
      <c r="J379" s="9"/>
      <c r="K379" s="70"/>
      <c r="L379" s="52"/>
      <c r="M379" s="8"/>
      <c r="N379" s="7"/>
      <c r="O379" s="218">
        <f t="shared" si="5"/>
        <v>0</v>
      </c>
      <c r="P379" s="218">
        <f>O379+SEPT!P379</f>
        <v>0</v>
      </c>
      <c r="Q379" s="59"/>
      <c r="R379" s="51"/>
      <c r="S379" s="65"/>
      <c r="T379" s="64"/>
      <c r="U379" s="67"/>
      <c r="V379" s="74"/>
      <c r="W379" s="6">
        <f>'CLIENT ENROLLMENT DISCHARGE '!M379</f>
        <v>0</v>
      </c>
      <c r="X379" s="76">
        <f>'CLIENT ENROLLMENT DISCHARGE '!L379</f>
        <v>0</v>
      </c>
      <c r="Y379" s="180" t="s">
        <v>0</v>
      </c>
    </row>
    <row r="380" spans="1:25" ht="50.1" customHeight="1" x14ac:dyDescent="0.25">
      <c r="A380" s="5">
        <v>366</v>
      </c>
      <c r="B380" s="10">
        <f>'CLIENT ENROLLMENT DISCHARGE '!B380</f>
        <v>0</v>
      </c>
      <c r="C380" s="4">
        <f>'CLIENT ENROLLMENT DISCHARGE '!C380</f>
        <v>0</v>
      </c>
      <c r="D380" s="52"/>
      <c r="E380" s="53"/>
      <c r="F380" s="52"/>
      <c r="G380" s="53"/>
      <c r="H380" s="63"/>
      <c r="I380" s="116"/>
      <c r="J380" s="3"/>
      <c r="K380" s="71"/>
      <c r="L380" s="53"/>
      <c r="M380" s="2"/>
      <c r="N380" s="1"/>
      <c r="O380" s="218">
        <f t="shared" si="5"/>
        <v>0</v>
      </c>
      <c r="P380" s="218">
        <f>O380+SEPT!P380</f>
        <v>0</v>
      </c>
      <c r="Q380" s="60"/>
      <c r="R380" s="52"/>
      <c r="S380" s="66"/>
      <c r="T380" s="65"/>
      <c r="U380" s="68"/>
      <c r="V380" s="75"/>
      <c r="W380" s="6">
        <f>'CLIENT ENROLLMENT DISCHARGE '!M380</f>
        <v>0</v>
      </c>
      <c r="X380" s="76">
        <f>'CLIENT ENROLLMENT DISCHARGE '!L380</f>
        <v>0</v>
      </c>
      <c r="Y380" s="180" t="s">
        <v>0</v>
      </c>
    </row>
    <row r="381" spans="1:25" ht="50.1" customHeight="1" x14ac:dyDescent="0.25">
      <c r="A381" s="5">
        <v>367</v>
      </c>
      <c r="B381" s="10">
        <f>'CLIENT ENROLLMENT DISCHARGE '!B381</f>
        <v>0</v>
      </c>
      <c r="C381" s="4">
        <f>'CLIENT ENROLLMENT DISCHARGE '!C381</f>
        <v>0</v>
      </c>
      <c r="D381" s="51"/>
      <c r="E381" s="52"/>
      <c r="F381" s="51"/>
      <c r="G381" s="52"/>
      <c r="H381" s="62"/>
      <c r="I381" s="115"/>
      <c r="J381" s="9"/>
      <c r="K381" s="70"/>
      <c r="L381" s="52"/>
      <c r="M381" s="8"/>
      <c r="N381" s="7"/>
      <c r="O381" s="218">
        <f t="shared" si="5"/>
        <v>0</v>
      </c>
      <c r="P381" s="218">
        <f>O381+SEPT!P381</f>
        <v>0</v>
      </c>
      <c r="Q381" s="59"/>
      <c r="R381" s="51"/>
      <c r="S381" s="65"/>
      <c r="T381" s="64"/>
      <c r="U381" s="67"/>
      <c r="V381" s="74"/>
      <c r="W381" s="6">
        <f>'CLIENT ENROLLMENT DISCHARGE '!M381</f>
        <v>0</v>
      </c>
      <c r="X381" s="76">
        <f>'CLIENT ENROLLMENT DISCHARGE '!L381</f>
        <v>0</v>
      </c>
      <c r="Y381" s="180" t="s">
        <v>0</v>
      </c>
    </row>
    <row r="382" spans="1:25" ht="50.1" customHeight="1" x14ac:dyDescent="0.25">
      <c r="A382" s="5">
        <v>368</v>
      </c>
      <c r="B382" s="10">
        <f>'CLIENT ENROLLMENT DISCHARGE '!B382</f>
        <v>0</v>
      </c>
      <c r="C382" s="4">
        <f>'CLIENT ENROLLMENT DISCHARGE '!C382</f>
        <v>0</v>
      </c>
      <c r="D382" s="52"/>
      <c r="E382" s="53"/>
      <c r="F382" s="52"/>
      <c r="G382" s="53"/>
      <c r="H382" s="63"/>
      <c r="I382" s="116"/>
      <c r="J382" s="3"/>
      <c r="K382" s="71"/>
      <c r="L382" s="53"/>
      <c r="M382" s="2"/>
      <c r="N382" s="1"/>
      <c r="O382" s="218">
        <f t="shared" si="5"/>
        <v>0</v>
      </c>
      <c r="P382" s="218">
        <f>O382+SEPT!P382</f>
        <v>0</v>
      </c>
      <c r="Q382" s="60"/>
      <c r="R382" s="52"/>
      <c r="S382" s="66"/>
      <c r="T382" s="65"/>
      <c r="U382" s="68"/>
      <c r="V382" s="59"/>
      <c r="W382" s="6">
        <f>'CLIENT ENROLLMENT DISCHARGE '!M382</f>
        <v>0</v>
      </c>
      <c r="X382" s="76">
        <f>'CLIENT ENROLLMENT DISCHARGE '!L382</f>
        <v>0</v>
      </c>
      <c r="Y382" s="180" t="s">
        <v>0</v>
      </c>
    </row>
    <row r="383" spans="1:25" ht="50.1" customHeight="1" x14ac:dyDescent="0.25">
      <c r="A383" s="5">
        <v>369</v>
      </c>
      <c r="B383" s="10">
        <f>'CLIENT ENROLLMENT DISCHARGE '!B383</f>
        <v>0</v>
      </c>
      <c r="C383" s="4">
        <f>'CLIENT ENROLLMENT DISCHARGE '!C383</f>
        <v>0</v>
      </c>
      <c r="D383" s="51"/>
      <c r="E383" s="52"/>
      <c r="F383" s="51"/>
      <c r="G383" s="52"/>
      <c r="H383" s="62"/>
      <c r="I383" s="115"/>
      <c r="J383" s="9"/>
      <c r="K383" s="70"/>
      <c r="L383" s="52"/>
      <c r="M383" s="8"/>
      <c r="N383" s="7"/>
      <c r="O383" s="218">
        <f t="shared" si="5"/>
        <v>0</v>
      </c>
      <c r="P383" s="218">
        <f>O383+SEPT!P383</f>
        <v>0</v>
      </c>
      <c r="Q383" s="59"/>
      <c r="R383" s="51"/>
      <c r="S383" s="65"/>
      <c r="T383" s="64"/>
      <c r="U383" s="67"/>
      <c r="V383" s="74"/>
      <c r="W383" s="6">
        <f>'CLIENT ENROLLMENT DISCHARGE '!M383</f>
        <v>0</v>
      </c>
      <c r="X383" s="76">
        <f>'CLIENT ENROLLMENT DISCHARGE '!L383</f>
        <v>0</v>
      </c>
      <c r="Y383" s="180" t="s">
        <v>0</v>
      </c>
    </row>
    <row r="384" spans="1:25" ht="50.1" customHeight="1" x14ac:dyDescent="0.25">
      <c r="A384" s="5">
        <v>370</v>
      </c>
      <c r="B384" s="10">
        <f>'CLIENT ENROLLMENT DISCHARGE '!B384</f>
        <v>0</v>
      </c>
      <c r="C384" s="4">
        <f>'CLIENT ENROLLMENT DISCHARGE '!C384</f>
        <v>0</v>
      </c>
      <c r="D384" s="52"/>
      <c r="E384" s="53"/>
      <c r="F384" s="52"/>
      <c r="G384" s="53"/>
      <c r="H384" s="63"/>
      <c r="I384" s="116"/>
      <c r="J384" s="3"/>
      <c r="K384" s="71"/>
      <c r="L384" s="53"/>
      <c r="M384" s="2"/>
      <c r="N384" s="1"/>
      <c r="O384" s="218">
        <f t="shared" si="5"/>
        <v>0</v>
      </c>
      <c r="P384" s="218">
        <f>O384+SEPT!P384</f>
        <v>0</v>
      </c>
      <c r="Q384" s="60"/>
      <c r="R384" s="52"/>
      <c r="S384" s="66"/>
      <c r="T384" s="65"/>
      <c r="U384" s="68"/>
      <c r="V384" s="59"/>
      <c r="W384" s="6">
        <f>'CLIENT ENROLLMENT DISCHARGE '!M384</f>
        <v>0</v>
      </c>
      <c r="X384" s="76">
        <f>'CLIENT ENROLLMENT DISCHARGE '!L384</f>
        <v>0</v>
      </c>
      <c r="Y384" s="180" t="s">
        <v>0</v>
      </c>
    </row>
    <row r="385" spans="1:25" ht="50.1" customHeight="1" x14ac:dyDescent="0.25">
      <c r="A385" s="5">
        <v>371</v>
      </c>
      <c r="B385" s="10">
        <f>'CLIENT ENROLLMENT DISCHARGE '!B385</f>
        <v>0</v>
      </c>
      <c r="C385" s="4">
        <f>'CLIENT ENROLLMENT DISCHARGE '!C385</f>
        <v>0</v>
      </c>
      <c r="D385" s="51"/>
      <c r="E385" s="52"/>
      <c r="F385" s="51"/>
      <c r="G385" s="52"/>
      <c r="H385" s="62"/>
      <c r="I385" s="115"/>
      <c r="J385" s="9"/>
      <c r="K385" s="70"/>
      <c r="L385" s="52"/>
      <c r="M385" s="8"/>
      <c r="N385" s="7"/>
      <c r="O385" s="218">
        <f t="shared" si="5"/>
        <v>0</v>
      </c>
      <c r="P385" s="218">
        <f>O385+SEPT!P385</f>
        <v>0</v>
      </c>
      <c r="Q385" s="59"/>
      <c r="R385" s="51"/>
      <c r="S385" s="65"/>
      <c r="T385" s="64"/>
      <c r="U385" s="67"/>
      <c r="V385" s="74"/>
      <c r="W385" s="6">
        <f>'CLIENT ENROLLMENT DISCHARGE '!M385</f>
        <v>0</v>
      </c>
      <c r="X385" s="76">
        <f>'CLIENT ENROLLMENT DISCHARGE '!L385</f>
        <v>0</v>
      </c>
      <c r="Y385" s="180" t="s">
        <v>0</v>
      </c>
    </row>
    <row r="386" spans="1:25" ht="50.1" customHeight="1" x14ac:dyDescent="0.25">
      <c r="A386" s="5">
        <v>372</v>
      </c>
      <c r="B386" s="10">
        <f>'CLIENT ENROLLMENT DISCHARGE '!B386</f>
        <v>0</v>
      </c>
      <c r="C386" s="4">
        <f>'CLIENT ENROLLMENT DISCHARGE '!C386</f>
        <v>0</v>
      </c>
      <c r="D386" s="52"/>
      <c r="E386" s="53"/>
      <c r="F386" s="52"/>
      <c r="G386" s="53"/>
      <c r="H386" s="63"/>
      <c r="I386" s="116"/>
      <c r="J386" s="3"/>
      <c r="K386" s="71"/>
      <c r="L386" s="53"/>
      <c r="M386" s="2"/>
      <c r="N386" s="1"/>
      <c r="O386" s="218">
        <f t="shared" si="5"/>
        <v>0</v>
      </c>
      <c r="P386" s="218">
        <f>O386+SEPT!P386</f>
        <v>0</v>
      </c>
      <c r="Q386" s="60"/>
      <c r="R386" s="52"/>
      <c r="S386" s="66"/>
      <c r="T386" s="65"/>
      <c r="U386" s="68"/>
      <c r="V386" s="59"/>
      <c r="W386" s="6">
        <f>'CLIENT ENROLLMENT DISCHARGE '!M386</f>
        <v>0</v>
      </c>
      <c r="X386" s="76">
        <f>'CLIENT ENROLLMENT DISCHARGE '!L386</f>
        <v>0</v>
      </c>
      <c r="Y386" s="180" t="s">
        <v>0</v>
      </c>
    </row>
    <row r="387" spans="1:25" ht="50.1" customHeight="1" x14ac:dyDescent="0.25">
      <c r="A387" s="5">
        <v>373</v>
      </c>
      <c r="B387" s="10">
        <f>'CLIENT ENROLLMENT DISCHARGE '!B387</f>
        <v>0</v>
      </c>
      <c r="C387" s="4">
        <f>'CLIENT ENROLLMENT DISCHARGE '!C387</f>
        <v>0</v>
      </c>
      <c r="D387" s="51"/>
      <c r="E387" s="52"/>
      <c r="F387" s="51"/>
      <c r="G387" s="52"/>
      <c r="H387" s="62"/>
      <c r="I387" s="115"/>
      <c r="J387" s="9"/>
      <c r="K387" s="70"/>
      <c r="L387" s="52"/>
      <c r="M387" s="8"/>
      <c r="N387" s="7"/>
      <c r="O387" s="218">
        <f t="shared" si="5"/>
        <v>0</v>
      </c>
      <c r="P387" s="218">
        <f>O387+SEPT!P387</f>
        <v>0</v>
      </c>
      <c r="Q387" s="59"/>
      <c r="R387" s="51"/>
      <c r="S387" s="65"/>
      <c r="T387" s="64"/>
      <c r="U387" s="67"/>
      <c r="V387" s="74"/>
      <c r="W387" s="6">
        <f>'CLIENT ENROLLMENT DISCHARGE '!M387</f>
        <v>0</v>
      </c>
      <c r="X387" s="76">
        <f>'CLIENT ENROLLMENT DISCHARGE '!L387</f>
        <v>0</v>
      </c>
      <c r="Y387" s="180" t="s">
        <v>0</v>
      </c>
    </row>
    <row r="388" spans="1:25" ht="50.1" customHeight="1" x14ac:dyDescent="0.25">
      <c r="A388" s="5">
        <v>374</v>
      </c>
      <c r="B388" s="10">
        <f>'CLIENT ENROLLMENT DISCHARGE '!B388</f>
        <v>0</v>
      </c>
      <c r="C388" s="4">
        <f>'CLIENT ENROLLMENT DISCHARGE '!C388</f>
        <v>0</v>
      </c>
      <c r="D388" s="52"/>
      <c r="E388" s="53"/>
      <c r="F388" s="52"/>
      <c r="G388" s="53"/>
      <c r="H388" s="63"/>
      <c r="I388" s="116"/>
      <c r="J388" s="3"/>
      <c r="K388" s="71"/>
      <c r="L388" s="53"/>
      <c r="M388" s="2"/>
      <c r="N388" s="1"/>
      <c r="O388" s="218">
        <f t="shared" si="5"/>
        <v>0</v>
      </c>
      <c r="P388" s="218">
        <f>O388+SEPT!P388</f>
        <v>0</v>
      </c>
      <c r="Q388" s="60"/>
      <c r="R388" s="52"/>
      <c r="S388" s="66"/>
      <c r="T388" s="65"/>
      <c r="U388" s="68"/>
      <c r="V388" s="59"/>
      <c r="W388" s="6">
        <f>'CLIENT ENROLLMENT DISCHARGE '!M388</f>
        <v>0</v>
      </c>
      <c r="X388" s="76">
        <f>'CLIENT ENROLLMENT DISCHARGE '!L388</f>
        <v>0</v>
      </c>
      <c r="Y388" s="180" t="s">
        <v>0</v>
      </c>
    </row>
    <row r="389" spans="1:25" ht="50.1" customHeight="1" x14ac:dyDescent="0.25">
      <c r="A389" s="5">
        <v>375</v>
      </c>
      <c r="B389" s="10">
        <f>'CLIENT ENROLLMENT DISCHARGE '!B389</f>
        <v>0</v>
      </c>
      <c r="C389" s="4">
        <f>'CLIENT ENROLLMENT DISCHARGE '!C389</f>
        <v>0</v>
      </c>
      <c r="D389" s="51"/>
      <c r="E389" s="52"/>
      <c r="F389" s="51"/>
      <c r="G389" s="52"/>
      <c r="H389" s="62"/>
      <c r="I389" s="115"/>
      <c r="J389" s="9"/>
      <c r="K389" s="70"/>
      <c r="L389" s="52"/>
      <c r="M389" s="8"/>
      <c r="N389" s="7"/>
      <c r="O389" s="218">
        <f t="shared" si="5"/>
        <v>0</v>
      </c>
      <c r="P389" s="218">
        <f>O389+SEPT!P389</f>
        <v>0</v>
      </c>
      <c r="Q389" s="59"/>
      <c r="R389" s="51"/>
      <c r="S389" s="65"/>
      <c r="T389" s="64"/>
      <c r="U389" s="67"/>
      <c r="V389" s="74"/>
      <c r="W389" s="6">
        <f>'CLIENT ENROLLMENT DISCHARGE '!M389</f>
        <v>0</v>
      </c>
      <c r="X389" s="76">
        <f>'CLIENT ENROLLMENT DISCHARGE '!L389</f>
        <v>0</v>
      </c>
      <c r="Y389" s="180" t="s">
        <v>0</v>
      </c>
    </row>
    <row r="390" spans="1:25" ht="50.1" customHeight="1" x14ac:dyDescent="0.25">
      <c r="A390" s="5">
        <v>376</v>
      </c>
      <c r="B390" s="10">
        <f>'CLIENT ENROLLMENT DISCHARGE '!B390</f>
        <v>0</v>
      </c>
      <c r="C390" s="4">
        <f>'CLIENT ENROLLMENT DISCHARGE '!C390</f>
        <v>0</v>
      </c>
      <c r="D390" s="52"/>
      <c r="E390" s="53"/>
      <c r="F390" s="52"/>
      <c r="G390" s="53"/>
      <c r="H390" s="63"/>
      <c r="I390" s="116"/>
      <c r="J390" s="3"/>
      <c r="K390" s="71"/>
      <c r="L390" s="53"/>
      <c r="M390" s="2"/>
      <c r="N390" s="1"/>
      <c r="O390" s="218">
        <f t="shared" si="5"/>
        <v>0</v>
      </c>
      <c r="P390" s="218">
        <f>O390+SEPT!P390</f>
        <v>0</v>
      </c>
      <c r="Q390" s="60"/>
      <c r="R390" s="52"/>
      <c r="S390" s="66"/>
      <c r="T390" s="65"/>
      <c r="U390" s="68"/>
      <c r="V390" s="75"/>
      <c r="W390" s="6">
        <f>'CLIENT ENROLLMENT DISCHARGE '!M390</f>
        <v>0</v>
      </c>
      <c r="X390" s="76">
        <f>'CLIENT ENROLLMENT DISCHARGE '!L390</f>
        <v>0</v>
      </c>
      <c r="Y390" s="180" t="s">
        <v>0</v>
      </c>
    </row>
    <row r="391" spans="1:25" ht="50.1" customHeight="1" x14ac:dyDescent="0.25">
      <c r="A391" s="5">
        <v>377</v>
      </c>
      <c r="B391" s="10">
        <f>'CLIENT ENROLLMENT DISCHARGE '!B391</f>
        <v>0</v>
      </c>
      <c r="C391" s="4">
        <f>'CLIENT ENROLLMENT DISCHARGE '!C391</f>
        <v>0</v>
      </c>
      <c r="D391" s="51"/>
      <c r="E391" s="52"/>
      <c r="F391" s="51"/>
      <c r="G391" s="52"/>
      <c r="H391" s="62"/>
      <c r="I391" s="115"/>
      <c r="J391" s="9"/>
      <c r="K391" s="70"/>
      <c r="L391" s="52"/>
      <c r="M391" s="8"/>
      <c r="N391" s="7"/>
      <c r="O391" s="218">
        <f t="shared" si="5"/>
        <v>0</v>
      </c>
      <c r="P391" s="218">
        <f>O391+SEPT!P391</f>
        <v>0</v>
      </c>
      <c r="Q391" s="59"/>
      <c r="R391" s="51"/>
      <c r="S391" s="65"/>
      <c r="T391" s="64"/>
      <c r="U391" s="67"/>
      <c r="V391" s="74"/>
      <c r="W391" s="6">
        <f>'CLIENT ENROLLMENT DISCHARGE '!M391</f>
        <v>0</v>
      </c>
      <c r="X391" s="76">
        <f>'CLIENT ENROLLMENT DISCHARGE '!L391</f>
        <v>0</v>
      </c>
      <c r="Y391" s="180" t="s">
        <v>0</v>
      </c>
    </row>
    <row r="392" spans="1:25" ht="50.1" customHeight="1" x14ac:dyDescent="0.25">
      <c r="A392" s="5">
        <v>378</v>
      </c>
      <c r="B392" s="10">
        <f>'CLIENT ENROLLMENT DISCHARGE '!B392</f>
        <v>0</v>
      </c>
      <c r="C392" s="4">
        <f>'CLIENT ENROLLMENT DISCHARGE '!C392</f>
        <v>0</v>
      </c>
      <c r="D392" s="52"/>
      <c r="E392" s="53"/>
      <c r="F392" s="52"/>
      <c r="G392" s="53"/>
      <c r="H392" s="63"/>
      <c r="I392" s="116"/>
      <c r="J392" s="3"/>
      <c r="K392" s="71"/>
      <c r="L392" s="53"/>
      <c r="M392" s="2"/>
      <c r="N392" s="1"/>
      <c r="O392" s="218">
        <f t="shared" si="5"/>
        <v>0</v>
      </c>
      <c r="P392" s="218">
        <f>O392+SEPT!P392</f>
        <v>0</v>
      </c>
      <c r="Q392" s="60"/>
      <c r="R392" s="52"/>
      <c r="S392" s="66"/>
      <c r="T392" s="65"/>
      <c r="U392" s="68"/>
      <c r="V392" s="59"/>
      <c r="W392" s="6">
        <f>'CLIENT ENROLLMENT DISCHARGE '!M392</f>
        <v>0</v>
      </c>
      <c r="X392" s="76">
        <f>'CLIENT ENROLLMENT DISCHARGE '!L392</f>
        <v>0</v>
      </c>
      <c r="Y392" s="180" t="s">
        <v>0</v>
      </c>
    </row>
    <row r="393" spans="1:25" ht="50.1" customHeight="1" x14ac:dyDescent="0.25">
      <c r="A393" s="5">
        <v>379</v>
      </c>
      <c r="B393" s="10">
        <f>'CLIENT ENROLLMENT DISCHARGE '!B393</f>
        <v>0</v>
      </c>
      <c r="C393" s="4">
        <f>'CLIENT ENROLLMENT DISCHARGE '!C393</f>
        <v>0</v>
      </c>
      <c r="D393" s="51"/>
      <c r="E393" s="52"/>
      <c r="F393" s="51"/>
      <c r="G393" s="52"/>
      <c r="H393" s="62"/>
      <c r="I393" s="115"/>
      <c r="J393" s="9"/>
      <c r="K393" s="70"/>
      <c r="L393" s="52"/>
      <c r="M393" s="8"/>
      <c r="N393" s="7"/>
      <c r="O393" s="218">
        <f t="shared" si="5"/>
        <v>0</v>
      </c>
      <c r="P393" s="218">
        <f>O393+SEPT!P393</f>
        <v>0</v>
      </c>
      <c r="Q393" s="59"/>
      <c r="R393" s="51"/>
      <c r="S393" s="65"/>
      <c r="T393" s="64"/>
      <c r="U393" s="67"/>
      <c r="V393" s="74"/>
      <c r="W393" s="6">
        <f>'CLIENT ENROLLMENT DISCHARGE '!M393</f>
        <v>0</v>
      </c>
      <c r="X393" s="76">
        <f>'CLIENT ENROLLMENT DISCHARGE '!L393</f>
        <v>0</v>
      </c>
      <c r="Y393" s="180" t="s">
        <v>0</v>
      </c>
    </row>
    <row r="394" spans="1:25" ht="50.1" customHeight="1" x14ac:dyDescent="0.25">
      <c r="A394" s="5">
        <v>380</v>
      </c>
      <c r="B394" s="10">
        <f>'CLIENT ENROLLMENT DISCHARGE '!B394</f>
        <v>0</v>
      </c>
      <c r="C394" s="4">
        <f>'CLIENT ENROLLMENT DISCHARGE '!C394</f>
        <v>0</v>
      </c>
      <c r="D394" s="52"/>
      <c r="E394" s="53"/>
      <c r="F394" s="52"/>
      <c r="G394" s="53"/>
      <c r="H394" s="63"/>
      <c r="I394" s="116"/>
      <c r="J394" s="3"/>
      <c r="K394" s="71"/>
      <c r="L394" s="53"/>
      <c r="M394" s="2"/>
      <c r="N394" s="1"/>
      <c r="O394" s="218">
        <f t="shared" si="5"/>
        <v>0</v>
      </c>
      <c r="P394" s="218">
        <f>O394+SEPT!P394</f>
        <v>0</v>
      </c>
      <c r="Q394" s="60"/>
      <c r="R394" s="52"/>
      <c r="S394" s="66"/>
      <c r="T394" s="65"/>
      <c r="U394" s="68"/>
      <c r="V394" s="59"/>
      <c r="W394" s="6">
        <f>'CLIENT ENROLLMENT DISCHARGE '!M394</f>
        <v>0</v>
      </c>
      <c r="X394" s="76">
        <f>'CLIENT ENROLLMENT DISCHARGE '!L394</f>
        <v>0</v>
      </c>
      <c r="Y394" s="180" t="s">
        <v>0</v>
      </c>
    </row>
    <row r="395" spans="1:25" ht="50.1" customHeight="1" x14ac:dyDescent="0.25">
      <c r="A395" s="5">
        <v>381</v>
      </c>
      <c r="B395" s="10">
        <f>'CLIENT ENROLLMENT DISCHARGE '!B395</f>
        <v>0</v>
      </c>
      <c r="C395" s="4">
        <f>'CLIENT ENROLLMENT DISCHARGE '!C395</f>
        <v>0</v>
      </c>
      <c r="D395" s="51"/>
      <c r="E395" s="52"/>
      <c r="F395" s="51"/>
      <c r="G395" s="52"/>
      <c r="H395" s="62"/>
      <c r="I395" s="115"/>
      <c r="J395" s="9"/>
      <c r="K395" s="70"/>
      <c r="L395" s="52"/>
      <c r="M395" s="8"/>
      <c r="N395" s="7"/>
      <c r="O395" s="218">
        <f t="shared" si="5"/>
        <v>0</v>
      </c>
      <c r="P395" s="218">
        <f>O395+SEPT!P395</f>
        <v>0</v>
      </c>
      <c r="Q395" s="59"/>
      <c r="R395" s="51"/>
      <c r="S395" s="65"/>
      <c r="T395" s="64"/>
      <c r="U395" s="67"/>
      <c r="V395" s="74"/>
      <c r="W395" s="6">
        <f>'CLIENT ENROLLMENT DISCHARGE '!M395</f>
        <v>0</v>
      </c>
      <c r="X395" s="76">
        <f>'CLIENT ENROLLMENT DISCHARGE '!L395</f>
        <v>0</v>
      </c>
      <c r="Y395" s="180" t="s">
        <v>0</v>
      </c>
    </row>
    <row r="396" spans="1:25" ht="50.1" customHeight="1" x14ac:dyDescent="0.25">
      <c r="A396" s="5">
        <v>382</v>
      </c>
      <c r="B396" s="10">
        <f>'CLIENT ENROLLMENT DISCHARGE '!B396</f>
        <v>0</v>
      </c>
      <c r="C396" s="4">
        <f>'CLIENT ENROLLMENT DISCHARGE '!C396</f>
        <v>0</v>
      </c>
      <c r="D396" s="52"/>
      <c r="E396" s="53"/>
      <c r="F396" s="52"/>
      <c r="G396" s="53"/>
      <c r="H396" s="63"/>
      <c r="I396" s="116"/>
      <c r="J396" s="3"/>
      <c r="K396" s="71"/>
      <c r="L396" s="53"/>
      <c r="M396" s="2"/>
      <c r="N396" s="1"/>
      <c r="O396" s="218">
        <f t="shared" si="5"/>
        <v>0</v>
      </c>
      <c r="P396" s="218">
        <f>O396+SEPT!P396</f>
        <v>0</v>
      </c>
      <c r="Q396" s="60"/>
      <c r="R396" s="52"/>
      <c r="S396" s="66"/>
      <c r="T396" s="65"/>
      <c r="U396" s="68"/>
      <c r="V396" s="59"/>
      <c r="W396" s="6">
        <f>'CLIENT ENROLLMENT DISCHARGE '!M396</f>
        <v>0</v>
      </c>
      <c r="X396" s="76">
        <f>'CLIENT ENROLLMENT DISCHARGE '!L396</f>
        <v>0</v>
      </c>
      <c r="Y396" s="180" t="s">
        <v>0</v>
      </c>
    </row>
    <row r="397" spans="1:25" ht="50.1" customHeight="1" x14ac:dyDescent="0.25">
      <c r="A397" s="5">
        <v>383</v>
      </c>
      <c r="B397" s="10">
        <f>'CLIENT ENROLLMENT DISCHARGE '!B397</f>
        <v>0</v>
      </c>
      <c r="C397" s="4">
        <f>'CLIENT ENROLLMENT DISCHARGE '!C397</f>
        <v>0</v>
      </c>
      <c r="D397" s="51"/>
      <c r="E397" s="52"/>
      <c r="F397" s="51"/>
      <c r="G397" s="52"/>
      <c r="H397" s="62"/>
      <c r="I397" s="115"/>
      <c r="J397" s="9"/>
      <c r="K397" s="70"/>
      <c r="L397" s="52"/>
      <c r="M397" s="8"/>
      <c r="N397" s="7"/>
      <c r="O397" s="218">
        <f t="shared" si="5"/>
        <v>0</v>
      </c>
      <c r="P397" s="218">
        <f>O397+SEPT!P397</f>
        <v>0</v>
      </c>
      <c r="Q397" s="59"/>
      <c r="R397" s="51"/>
      <c r="S397" s="65"/>
      <c r="T397" s="64"/>
      <c r="U397" s="67"/>
      <c r="V397" s="74"/>
      <c r="W397" s="6">
        <f>'CLIENT ENROLLMENT DISCHARGE '!M397</f>
        <v>0</v>
      </c>
      <c r="X397" s="76">
        <f>'CLIENT ENROLLMENT DISCHARGE '!L397</f>
        <v>0</v>
      </c>
      <c r="Y397" s="180" t="s">
        <v>0</v>
      </c>
    </row>
    <row r="398" spans="1:25" ht="50.1" customHeight="1" x14ac:dyDescent="0.25">
      <c r="A398" s="5">
        <v>384</v>
      </c>
      <c r="B398" s="10">
        <f>'CLIENT ENROLLMENT DISCHARGE '!B398</f>
        <v>0</v>
      </c>
      <c r="C398" s="4">
        <f>'CLIENT ENROLLMENT DISCHARGE '!C398</f>
        <v>0</v>
      </c>
      <c r="D398" s="52"/>
      <c r="E398" s="53"/>
      <c r="F398" s="52"/>
      <c r="G398" s="53"/>
      <c r="H398" s="63"/>
      <c r="I398" s="116"/>
      <c r="J398" s="3"/>
      <c r="K398" s="71"/>
      <c r="L398" s="53"/>
      <c r="M398" s="2"/>
      <c r="N398" s="1"/>
      <c r="O398" s="218">
        <f t="shared" si="5"/>
        <v>0</v>
      </c>
      <c r="P398" s="218">
        <f>O398+SEPT!P398</f>
        <v>0</v>
      </c>
      <c r="Q398" s="60"/>
      <c r="R398" s="52"/>
      <c r="S398" s="66"/>
      <c r="T398" s="65"/>
      <c r="U398" s="68"/>
      <c r="V398" s="59"/>
      <c r="W398" s="6">
        <f>'CLIENT ENROLLMENT DISCHARGE '!M398</f>
        <v>0</v>
      </c>
      <c r="X398" s="76">
        <f>'CLIENT ENROLLMENT DISCHARGE '!L398</f>
        <v>0</v>
      </c>
      <c r="Y398" s="180" t="s">
        <v>0</v>
      </c>
    </row>
    <row r="399" spans="1:25" ht="50.1" customHeight="1" x14ac:dyDescent="0.25">
      <c r="A399" s="5">
        <v>385</v>
      </c>
      <c r="B399" s="10">
        <f>'CLIENT ENROLLMENT DISCHARGE '!B399</f>
        <v>0</v>
      </c>
      <c r="C399" s="4">
        <f>'CLIENT ENROLLMENT DISCHARGE '!C399</f>
        <v>0</v>
      </c>
      <c r="D399" s="51"/>
      <c r="E399" s="52"/>
      <c r="F399" s="51"/>
      <c r="G399" s="52"/>
      <c r="H399" s="62"/>
      <c r="I399" s="115"/>
      <c r="J399" s="9"/>
      <c r="K399" s="70"/>
      <c r="L399" s="52"/>
      <c r="M399" s="8"/>
      <c r="N399" s="7"/>
      <c r="O399" s="218">
        <f t="shared" si="5"/>
        <v>0</v>
      </c>
      <c r="P399" s="218">
        <f>O399+SEPT!P399</f>
        <v>0</v>
      </c>
      <c r="Q399" s="59"/>
      <c r="R399" s="51"/>
      <c r="S399" s="65"/>
      <c r="T399" s="64"/>
      <c r="U399" s="67"/>
      <c r="V399" s="74"/>
      <c r="W399" s="6">
        <f>'CLIENT ENROLLMENT DISCHARGE '!M399</f>
        <v>0</v>
      </c>
      <c r="X399" s="76">
        <f>'CLIENT ENROLLMENT DISCHARGE '!L399</f>
        <v>0</v>
      </c>
      <c r="Y399" s="180" t="s">
        <v>0</v>
      </c>
    </row>
    <row r="400" spans="1:25" ht="50.1" customHeight="1" x14ac:dyDescent="0.25">
      <c r="A400" s="5">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6">K400*N400</f>
        <v>0</v>
      </c>
      <c r="P400" s="218">
        <f>O400+SEPT!P400</f>
        <v>0</v>
      </c>
      <c r="Q400" s="60"/>
      <c r="R400" s="52"/>
      <c r="S400" s="66"/>
      <c r="T400" s="65"/>
      <c r="U400" s="68"/>
      <c r="V400" s="75"/>
      <c r="W400" s="6">
        <f>'CLIENT ENROLLMENT DISCHARGE '!M400</f>
        <v>0</v>
      </c>
      <c r="X400" s="76">
        <f>'CLIENT ENROLLMENT DISCHARGE '!L400</f>
        <v>0</v>
      </c>
      <c r="Y400" s="180" t="s">
        <v>0</v>
      </c>
    </row>
    <row r="401" spans="1:25" ht="50.1" customHeight="1" x14ac:dyDescent="0.25">
      <c r="A401" s="5">
        <v>387</v>
      </c>
      <c r="B401" s="10">
        <f>'CLIENT ENROLLMENT DISCHARGE '!B401</f>
        <v>0</v>
      </c>
      <c r="C401" s="4">
        <f>'CLIENT ENROLLMENT DISCHARGE '!C401</f>
        <v>0</v>
      </c>
      <c r="D401" s="51"/>
      <c r="E401" s="52"/>
      <c r="F401" s="51"/>
      <c r="G401" s="52"/>
      <c r="H401" s="62"/>
      <c r="I401" s="115"/>
      <c r="J401" s="9"/>
      <c r="K401" s="70"/>
      <c r="L401" s="52"/>
      <c r="M401" s="8"/>
      <c r="N401" s="7"/>
      <c r="O401" s="218">
        <f t="shared" si="6"/>
        <v>0</v>
      </c>
      <c r="P401" s="218">
        <f>O401+SEPT!P401</f>
        <v>0</v>
      </c>
      <c r="Q401" s="59"/>
      <c r="R401" s="51"/>
      <c r="S401" s="65"/>
      <c r="T401" s="64"/>
      <c r="U401" s="67"/>
      <c r="V401" s="74"/>
      <c r="W401" s="6">
        <f>'CLIENT ENROLLMENT DISCHARGE '!M401</f>
        <v>0</v>
      </c>
      <c r="X401" s="76">
        <f>'CLIENT ENROLLMENT DISCHARGE '!L401</f>
        <v>0</v>
      </c>
      <c r="Y401" s="180" t="s">
        <v>0</v>
      </c>
    </row>
    <row r="402" spans="1:25" ht="50.1" customHeight="1" x14ac:dyDescent="0.25">
      <c r="A402" s="5">
        <v>388</v>
      </c>
      <c r="B402" s="10">
        <f>'CLIENT ENROLLMENT DISCHARGE '!B402</f>
        <v>0</v>
      </c>
      <c r="C402" s="4">
        <f>'CLIENT ENROLLMENT DISCHARGE '!C402</f>
        <v>0</v>
      </c>
      <c r="D402" s="52"/>
      <c r="E402" s="53"/>
      <c r="F402" s="52"/>
      <c r="G402" s="53"/>
      <c r="H402" s="63"/>
      <c r="I402" s="116"/>
      <c r="J402" s="3"/>
      <c r="K402" s="71"/>
      <c r="L402" s="53"/>
      <c r="M402" s="2"/>
      <c r="N402" s="1"/>
      <c r="O402" s="218">
        <f t="shared" si="6"/>
        <v>0</v>
      </c>
      <c r="P402" s="218">
        <f>O402+SEPT!P402</f>
        <v>0</v>
      </c>
      <c r="Q402" s="60"/>
      <c r="R402" s="52"/>
      <c r="S402" s="66"/>
      <c r="T402" s="65"/>
      <c r="U402" s="68"/>
      <c r="V402" s="59"/>
      <c r="W402" s="6">
        <f>'CLIENT ENROLLMENT DISCHARGE '!M402</f>
        <v>0</v>
      </c>
      <c r="X402" s="76">
        <f>'CLIENT ENROLLMENT DISCHARGE '!L402</f>
        <v>0</v>
      </c>
      <c r="Y402" s="180" t="s">
        <v>0</v>
      </c>
    </row>
    <row r="403" spans="1:25" ht="50.1" customHeight="1" x14ac:dyDescent="0.25">
      <c r="A403" s="5">
        <v>389</v>
      </c>
      <c r="B403" s="10">
        <f>'CLIENT ENROLLMENT DISCHARGE '!B403</f>
        <v>0</v>
      </c>
      <c r="C403" s="4">
        <f>'CLIENT ENROLLMENT DISCHARGE '!C403</f>
        <v>0</v>
      </c>
      <c r="D403" s="51"/>
      <c r="E403" s="52"/>
      <c r="F403" s="51"/>
      <c r="G403" s="52"/>
      <c r="H403" s="62"/>
      <c r="I403" s="115"/>
      <c r="J403" s="9"/>
      <c r="K403" s="70"/>
      <c r="L403" s="52"/>
      <c r="M403" s="8"/>
      <c r="N403" s="7"/>
      <c r="O403" s="218">
        <f t="shared" si="6"/>
        <v>0</v>
      </c>
      <c r="P403" s="218">
        <f>O403+SEPT!P403</f>
        <v>0</v>
      </c>
      <c r="Q403" s="59"/>
      <c r="R403" s="51"/>
      <c r="S403" s="65"/>
      <c r="T403" s="64"/>
      <c r="U403" s="67"/>
      <c r="V403" s="74"/>
      <c r="W403" s="6">
        <f>'CLIENT ENROLLMENT DISCHARGE '!M403</f>
        <v>0</v>
      </c>
      <c r="X403" s="76">
        <f>'CLIENT ENROLLMENT DISCHARGE '!L403</f>
        <v>0</v>
      </c>
      <c r="Y403" s="180" t="s">
        <v>0</v>
      </c>
    </row>
    <row r="404" spans="1:25" ht="50.1" customHeight="1" x14ac:dyDescent="0.25">
      <c r="A404" s="5">
        <v>390</v>
      </c>
      <c r="B404" s="10">
        <f>'CLIENT ENROLLMENT DISCHARGE '!B404</f>
        <v>0</v>
      </c>
      <c r="C404" s="4">
        <f>'CLIENT ENROLLMENT DISCHARGE '!C404</f>
        <v>0</v>
      </c>
      <c r="D404" s="52"/>
      <c r="E404" s="53"/>
      <c r="F404" s="52"/>
      <c r="G404" s="53"/>
      <c r="H404" s="63"/>
      <c r="I404" s="116"/>
      <c r="J404" s="3"/>
      <c r="K404" s="71"/>
      <c r="L404" s="53"/>
      <c r="M404" s="2"/>
      <c r="N404" s="1"/>
      <c r="O404" s="218">
        <f t="shared" si="6"/>
        <v>0</v>
      </c>
      <c r="P404" s="218">
        <f>O404+SEPT!P404</f>
        <v>0</v>
      </c>
      <c r="Q404" s="60"/>
      <c r="R404" s="52"/>
      <c r="S404" s="66"/>
      <c r="T404" s="65"/>
      <c r="U404" s="68"/>
      <c r="V404" s="59"/>
      <c r="W404" s="6">
        <f>'CLIENT ENROLLMENT DISCHARGE '!M404</f>
        <v>0</v>
      </c>
      <c r="X404" s="76">
        <f>'CLIENT ENROLLMENT DISCHARGE '!L404</f>
        <v>0</v>
      </c>
      <c r="Y404" s="180" t="s">
        <v>0</v>
      </c>
    </row>
    <row r="405" spans="1:25" ht="50.1" customHeight="1" x14ac:dyDescent="0.25">
      <c r="A405" s="5">
        <v>391</v>
      </c>
      <c r="B405" s="10">
        <f>'CLIENT ENROLLMENT DISCHARGE '!B405</f>
        <v>0</v>
      </c>
      <c r="C405" s="4">
        <f>'CLIENT ENROLLMENT DISCHARGE '!C405</f>
        <v>0</v>
      </c>
      <c r="D405" s="51"/>
      <c r="E405" s="52"/>
      <c r="F405" s="51"/>
      <c r="G405" s="52"/>
      <c r="H405" s="62"/>
      <c r="I405" s="115"/>
      <c r="J405" s="9"/>
      <c r="K405" s="70"/>
      <c r="L405" s="52"/>
      <c r="M405" s="8"/>
      <c r="N405" s="7"/>
      <c r="O405" s="218">
        <f t="shared" si="6"/>
        <v>0</v>
      </c>
      <c r="P405" s="218">
        <f>O405+SEPT!P405</f>
        <v>0</v>
      </c>
      <c r="Q405" s="59"/>
      <c r="R405" s="51"/>
      <c r="S405" s="65"/>
      <c r="T405" s="64"/>
      <c r="U405" s="67"/>
      <c r="V405" s="74"/>
      <c r="W405" s="6">
        <f>'CLIENT ENROLLMENT DISCHARGE '!M405</f>
        <v>0</v>
      </c>
      <c r="X405" s="76">
        <f>'CLIENT ENROLLMENT DISCHARGE '!L405</f>
        <v>0</v>
      </c>
      <c r="Y405" s="180" t="s">
        <v>0</v>
      </c>
    </row>
    <row r="406" spans="1:25" ht="50.1" customHeight="1" x14ac:dyDescent="0.25">
      <c r="A406" s="5">
        <v>392</v>
      </c>
      <c r="B406" s="10">
        <f>'CLIENT ENROLLMENT DISCHARGE '!B406</f>
        <v>0</v>
      </c>
      <c r="C406" s="4">
        <f>'CLIENT ENROLLMENT DISCHARGE '!C406</f>
        <v>0</v>
      </c>
      <c r="D406" s="52"/>
      <c r="E406" s="53"/>
      <c r="F406" s="52"/>
      <c r="G406" s="53"/>
      <c r="H406" s="63"/>
      <c r="I406" s="116"/>
      <c r="J406" s="3"/>
      <c r="K406" s="71"/>
      <c r="L406" s="53"/>
      <c r="M406" s="2"/>
      <c r="N406" s="1"/>
      <c r="O406" s="218">
        <f t="shared" si="6"/>
        <v>0</v>
      </c>
      <c r="P406" s="218">
        <f>O406+SEPT!P406</f>
        <v>0</v>
      </c>
      <c r="Q406" s="60"/>
      <c r="R406" s="52"/>
      <c r="S406" s="66"/>
      <c r="T406" s="65"/>
      <c r="U406" s="68"/>
      <c r="V406" s="59"/>
      <c r="W406" s="6">
        <f>'CLIENT ENROLLMENT DISCHARGE '!M406</f>
        <v>0</v>
      </c>
      <c r="X406" s="76">
        <f>'CLIENT ENROLLMENT DISCHARGE '!L406</f>
        <v>0</v>
      </c>
      <c r="Y406" s="180" t="s">
        <v>0</v>
      </c>
    </row>
    <row r="407" spans="1:25" ht="50.1" customHeight="1" x14ac:dyDescent="0.25">
      <c r="A407" s="5">
        <v>393</v>
      </c>
      <c r="B407" s="10">
        <f>'CLIENT ENROLLMENT DISCHARGE '!B407</f>
        <v>0</v>
      </c>
      <c r="C407" s="4">
        <f>'CLIENT ENROLLMENT DISCHARGE '!C407</f>
        <v>0</v>
      </c>
      <c r="D407" s="51"/>
      <c r="E407" s="52"/>
      <c r="F407" s="51"/>
      <c r="G407" s="52"/>
      <c r="H407" s="62"/>
      <c r="I407" s="115"/>
      <c r="J407" s="9"/>
      <c r="K407" s="70"/>
      <c r="L407" s="52"/>
      <c r="M407" s="8"/>
      <c r="N407" s="7"/>
      <c r="O407" s="218">
        <f t="shared" si="6"/>
        <v>0</v>
      </c>
      <c r="P407" s="218">
        <f>O407+SEPT!P407</f>
        <v>0</v>
      </c>
      <c r="Q407" s="59"/>
      <c r="R407" s="51"/>
      <c r="S407" s="65"/>
      <c r="T407" s="64"/>
      <c r="U407" s="67"/>
      <c r="V407" s="74"/>
      <c r="W407" s="6">
        <f>'CLIENT ENROLLMENT DISCHARGE '!M407</f>
        <v>0</v>
      </c>
      <c r="X407" s="76">
        <f>'CLIENT ENROLLMENT DISCHARGE '!L407</f>
        <v>0</v>
      </c>
      <c r="Y407" s="180" t="s">
        <v>0</v>
      </c>
    </row>
    <row r="408" spans="1:25" ht="50.1" customHeight="1" x14ac:dyDescent="0.25">
      <c r="A408" s="5">
        <v>394</v>
      </c>
      <c r="B408" s="10">
        <f>'CLIENT ENROLLMENT DISCHARGE '!B408</f>
        <v>0</v>
      </c>
      <c r="C408" s="4">
        <f>'CLIENT ENROLLMENT DISCHARGE '!C408</f>
        <v>0</v>
      </c>
      <c r="D408" s="52"/>
      <c r="E408" s="53"/>
      <c r="F408" s="52"/>
      <c r="G408" s="53"/>
      <c r="H408" s="63"/>
      <c r="I408" s="116"/>
      <c r="J408" s="3"/>
      <c r="K408" s="71"/>
      <c r="L408" s="53"/>
      <c r="M408" s="2"/>
      <c r="N408" s="1"/>
      <c r="O408" s="218">
        <f t="shared" si="6"/>
        <v>0</v>
      </c>
      <c r="P408" s="218">
        <f>O408+SEPT!P408</f>
        <v>0</v>
      </c>
      <c r="Q408" s="60"/>
      <c r="R408" s="52"/>
      <c r="S408" s="66"/>
      <c r="T408" s="65"/>
      <c r="U408" s="68"/>
      <c r="V408" s="59"/>
      <c r="W408" s="6">
        <f>'CLIENT ENROLLMENT DISCHARGE '!M408</f>
        <v>0</v>
      </c>
      <c r="X408" s="76">
        <f>'CLIENT ENROLLMENT DISCHARGE '!L408</f>
        <v>0</v>
      </c>
      <c r="Y408" s="180" t="s">
        <v>0</v>
      </c>
    </row>
    <row r="409" spans="1:25" ht="50.1" customHeight="1" x14ac:dyDescent="0.25">
      <c r="A409" s="5">
        <v>395</v>
      </c>
      <c r="B409" s="10">
        <f>'CLIENT ENROLLMENT DISCHARGE '!B409</f>
        <v>0</v>
      </c>
      <c r="C409" s="4">
        <f>'CLIENT ENROLLMENT DISCHARGE '!C409</f>
        <v>0</v>
      </c>
      <c r="D409" s="51"/>
      <c r="E409" s="52"/>
      <c r="F409" s="51"/>
      <c r="G409" s="52"/>
      <c r="H409" s="62"/>
      <c r="I409" s="115"/>
      <c r="J409" s="9"/>
      <c r="K409" s="70"/>
      <c r="L409" s="52"/>
      <c r="M409" s="8"/>
      <c r="N409" s="7"/>
      <c r="O409" s="218">
        <f t="shared" si="6"/>
        <v>0</v>
      </c>
      <c r="P409" s="218">
        <f>O409+SEPT!P409</f>
        <v>0</v>
      </c>
      <c r="Q409" s="59"/>
      <c r="R409" s="51"/>
      <c r="S409" s="65"/>
      <c r="T409" s="64"/>
      <c r="U409" s="67"/>
      <c r="V409" s="74"/>
      <c r="W409" s="6">
        <f>'CLIENT ENROLLMENT DISCHARGE '!M409</f>
        <v>0</v>
      </c>
      <c r="X409" s="76">
        <f>'CLIENT ENROLLMENT DISCHARGE '!L409</f>
        <v>0</v>
      </c>
      <c r="Y409" s="180" t="s">
        <v>0</v>
      </c>
    </row>
    <row r="410" spans="1:25" ht="50.1" customHeight="1" x14ac:dyDescent="0.25">
      <c r="A410" s="5">
        <v>396</v>
      </c>
      <c r="B410" s="10">
        <f>'CLIENT ENROLLMENT DISCHARGE '!B410</f>
        <v>0</v>
      </c>
      <c r="C410" s="4">
        <f>'CLIENT ENROLLMENT DISCHARGE '!C410</f>
        <v>0</v>
      </c>
      <c r="D410" s="52"/>
      <c r="E410" s="53"/>
      <c r="F410" s="52"/>
      <c r="G410" s="53"/>
      <c r="H410" s="63"/>
      <c r="I410" s="116"/>
      <c r="J410" s="3"/>
      <c r="K410" s="71"/>
      <c r="L410" s="53"/>
      <c r="M410" s="2"/>
      <c r="N410" s="1"/>
      <c r="O410" s="218">
        <f t="shared" si="6"/>
        <v>0</v>
      </c>
      <c r="P410" s="218">
        <f>O410+SEPT!P410</f>
        <v>0</v>
      </c>
      <c r="Q410" s="60"/>
      <c r="R410" s="52"/>
      <c r="S410" s="66"/>
      <c r="T410" s="65"/>
      <c r="U410" s="68"/>
      <c r="V410" s="75"/>
      <c r="W410" s="6">
        <f>'CLIENT ENROLLMENT DISCHARGE '!M410</f>
        <v>0</v>
      </c>
      <c r="X410" s="76">
        <f>'CLIENT ENROLLMENT DISCHARGE '!L410</f>
        <v>0</v>
      </c>
      <c r="Y410" s="180" t="s">
        <v>0</v>
      </c>
    </row>
    <row r="411" spans="1:25" ht="50.1" customHeight="1" x14ac:dyDescent="0.25">
      <c r="A411" s="5">
        <v>397</v>
      </c>
      <c r="B411" s="10">
        <f>'CLIENT ENROLLMENT DISCHARGE '!B411</f>
        <v>0</v>
      </c>
      <c r="C411" s="4">
        <f>'CLIENT ENROLLMENT DISCHARGE '!C411</f>
        <v>0</v>
      </c>
      <c r="D411" s="51"/>
      <c r="E411" s="52"/>
      <c r="F411" s="51"/>
      <c r="G411" s="52"/>
      <c r="H411" s="62"/>
      <c r="I411" s="115"/>
      <c r="J411" s="9"/>
      <c r="K411" s="70"/>
      <c r="L411" s="52"/>
      <c r="M411" s="8"/>
      <c r="N411" s="7"/>
      <c r="O411" s="218">
        <f t="shared" si="6"/>
        <v>0</v>
      </c>
      <c r="P411" s="218">
        <f>O411+SEPT!P411</f>
        <v>0</v>
      </c>
      <c r="Q411" s="59"/>
      <c r="R411" s="51"/>
      <c r="S411" s="65"/>
      <c r="T411" s="64"/>
      <c r="U411" s="67"/>
      <c r="V411" s="74"/>
      <c r="W411" s="6">
        <f>'CLIENT ENROLLMENT DISCHARGE '!M411</f>
        <v>0</v>
      </c>
      <c r="X411" s="76">
        <f>'CLIENT ENROLLMENT DISCHARGE '!L411</f>
        <v>0</v>
      </c>
      <c r="Y411" s="180" t="s">
        <v>0</v>
      </c>
    </row>
    <row r="412" spans="1:25" ht="50.1" customHeight="1" x14ac:dyDescent="0.25">
      <c r="A412" s="5">
        <v>398</v>
      </c>
      <c r="B412" s="10">
        <f>'CLIENT ENROLLMENT DISCHARGE '!B412</f>
        <v>0</v>
      </c>
      <c r="C412" s="4">
        <f>'CLIENT ENROLLMENT DISCHARGE '!C412</f>
        <v>0</v>
      </c>
      <c r="D412" s="52"/>
      <c r="E412" s="53"/>
      <c r="F412" s="52"/>
      <c r="G412" s="53"/>
      <c r="H412" s="63"/>
      <c r="I412" s="116"/>
      <c r="J412" s="3"/>
      <c r="K412" s="71"/>
      <c r="L412" s="53"/>
      <c r="M412" s="2"/>
      <c r="N412" s="1"/>
      <c r="O412" s="218">
        <f t="shared" si="6"/>
        <v>0</v>
      </c>
      <c r="P412" s="218">
        <f>O412+SEPT!P412</f>
        <v>0</v>
      </c>
      <c r="Q412" s="60"/>
      <c r="R412" s="52"/>
      <c r="S412" s="66"/>
      <c r="T412" s="65"/>
      <c r="U412" s="68"/>
      <c r="V412" s="59"/>
      <c r="W412" s="6">
        <f>'CLIENT ENROLLMENT DISCHARGE '!M412</f>
        <v>0</v>
      </c>
      <c r="X412" s="76">
        <f>'CLIENT ENROLLMENT DISCHARGE '!L412</f>
        <v>0</v>
      </c>
      <c r="Y412" s="180" t="s">
        <v>0</v>
      </c>
    </row>
    <row r="413" spans="1:25" ht="50.1" customHeight="1" x14ac:dyDescent="0.25">
      <c r="A413" s="5">
        <v>399</v>
      </c>
      <c r="B413" s="10">
        <f>'CLIENT ENROLLMENT DISCHARGE '!B413</f>
        <v>0</v>
      </c>
      <c r="C413" s="4">
        <f>'CLIENT ENROLLMENT DISCHARGE '!C413</f>
        <v>0</v>
      </c>
      <c r="D413" s="51"/>
      <c r="E413" s="52"/>
      <c r="F413" s="51"/>
      <c r="G413" s="52"/>
      <c r="H413" s="62"/>
      <c r="I413" s="115"/>
      <c r="J413" s="9"/>
      <c r="K413" s="70"/>
      <c r="L413" s="52"/>
      <c r="M413" s="8"/>
      <c r="N413" s="7"/>
      <c r="O413" s="218">
        <f t="shared" si="6"/>
        <v>0</v>
      </c>
      <c r="P413" s="218">
        <f>O413+SEPT!P413</f>
        <v>0</v>
      </c>
      <c r="Q413" s="59"/>
      <c r="R413" s="51"/>
      <c r="S413" s="65"/>
      <c r="T413" s="64"/>
      <c r="U413" s="67"/>
      <c r="V413" s="74"/>
      <c r="W413" s="6">
        <f>'CLIENT ENROLLMENT DISCHARGE '!M413</f>
        <v>0</v>
      </c>
      <c r="X413" s="76">
        <f>'CLIENT ENROLLMENT DISCHARGE '!L413</f>
        <v>0</v>
      </c>
      <c r="Y413" s="180" t="s">
        <v>0</v>
      </c>
    </row>
    <row r="414" spans="1:25" ht="50.1" customHeight="1" x14ac:dyDescent="0.25">
      <c r="A414" s="5">
        <v>400</v>
      </c>
      <c r="B414" s="10">
        <f>'CLIENT ENROLLMENT DISCHARGE '!B414</f>
        <v>0</v>
      </c>
      <c r="C414" s="4">
        <f>'CLIENT ENROLLMENT DISCHARGE '!C414</f>
        <v>0</v>
      </c>
      <c r="D414" s="52"/>
      <c r="E414" s="53"/>
      <c r="F414" s="52"/>
      <c r="G414" s="53"/>
      <c r="H414" s="63"/>
      <c r="I414" s="116"/>
      <c r="J414" s="3"/>
      <c r="K414" s="71"/>
      <c r="L414" s="53"/>
      <c r="M414" s="2"/>
      <c r="N414" s="1"/>
      <c r="O414" s="218">
        <f t="shared" si="6"/>
        <v>0</v>
      </c>
      <c r="P414" s="218">
        <f>O414+SEPT!P414</f>
        <v>0</v>
      </c>
      <c r="Q414" s="60"/>
      <c r="R414" s="52"/>
      <c r="S414" s="66"/>
      <c r="T414" s="65"/>
      <c r="U414" s="68"/>
      <c r="V414" s="59"/>
      <c r="W414" s="6">
        <f>'CLIENT ENROLLMENT DISCHARGE '!M414</f>
        <v>0</v>
      </c>
      <c r="X414" s="76">
        <f>'CLIENT ENROLLMENT DISCHARGE '!L414</f>
        <v>0</v>
      </c>
      <c r="Y414" s="180" t="s">
        <v>0</v>
      </c>
    </row>
    <row r="415" spans="1:25" ht="50.1" customHeight="1" x14ac:dyDescent="0.25">
      <c r="A415" s="5">
        <v>404</v>
      </c>
      <c r="B415" s="10">
        <f>'CLIENT ENROLLMENT DISCHARGE '!B415</f>
        <v>0</v>
      </c>
      <c r="C415" s="4">
        <f>'CLIENT ENROLLMENT DISCHARGE '!C415</f>
        <v>0</v>
      </c>
      <c r="D415" s="51"/>
      <c r="E415" s="52"/>
      <c r="F415" s="51"/>
      <c r="G415" s="52"/>
      <c r="H415" s="62"/>
      <c r="I415" s="115"/>
      <c r="J415" s="9"/>
      <c r="K415" s="70"/>
      <c r="L415" s="52"/>
      <c r="M415" s="8"/>
      <c r="N415" s="7"/>
      <c r="O415" s="218">
        <f t="shared" si="6"/>
        <v>0</v>
      </c>
      <c r="P415" s="218">
        <f>O415+SEPT!P415</f>
        <v>0</v>
      </c>
      <c r="Q415" s="59"/>
      <c r="R415" s="51"/>
      <c r="S415" s="65"/>
      <c r="T415" s="64"/>
      <c r="U415" s="67"/>
      <c r="V415" s="74"/>
      <c r="W415" s="6">
        <f>'CLIENT ENROLLMENT DISCHARGE '!M415</f>
        <v>0</v>
      </c>
      <c r="X415" s="76">
        <f>'CLIENT ENROLLMENT DISCHARGE '!L415</f>
        <v>0</v>
      </c>
      <c r="Y415" s="180" t="s">
        <v>0</v>
      </c>
    </row>
    <row r="416" spans="1:25" ht="50.1" customHeight="1" x14ac:dyDescent="0.25">
      <c r="A416" s="5">
        <v>402</v>
      </c>
      <c r="B416" s="10">
        <f>'CLIENT ENROLLMENT DISCHARGE '!B416</f>
        <v>0</v>
      </c>
      <c r="C416" s="4">
        <f>'CLIENT ENROLLMENT DISCHARGE '!C416</f>
        <v>0</v>
      </c>
      <c r="D416" s="52"/>
      <c r="E416" s="53"/>
      <c r="F416" s="52"/>
      <c r="G416" s="53"/>
      <c r="H416" s="63"/>
      <c r="I416" s="116"/>
      <c r="J416" s="3"/>
      <c r="K416" s="71"/>
      <c r="L416" s="53"/>
      <c r="M416" s="2"/>
      <c r="N416" s="1"/>
      <c r="O416" s="218">
        <f t="shared" si="6"/>
        <v>0</v>
      </c>
      <c r="P416" s="218">
        <f>O416+SEPT!P416</f>
        <v>0</v>
      </c>
      <c r="Q416" s="60"/>
      <c r="R416" s="52"/>
      <c r="S416" s="66"/>
      <c r="T416" s="65"/>
      <c r="U416" s="68"/>
      <c r="V416" s="59"/>
      <c r="W416" s="6">
        <f>'CLIENT ENROLLMENT DISCHARGE '!M416</f>
        <v>0</v>
      </c>
      <c r="X416" s="76">
        <f>'CLIENT ENROLLMENT DISCHARGE '!L416</f>
        <v>0</v>
      </c>
      <c r="Y416" s="180" t="s">
        <v>0</v>
      </c>
    </row>
    <row r="417" spans="1:25" ht="50.1" customHeight="1" x14ac:dyDescent="0.25">
      <c r="A417" s="5">
        <v>403</v>
      </c>
      <c r="B417" s="10">
        <f>'CLIENT ENROLLMENT DISCHARGE '!B417</f>
        <v>0</v>
      </c>
      <c r="C417" s="4">
        <f>'CLIENT ENROLLMENT DISCHARGE '!C417</f>
        <v>0</v>
      </c>
      <c r="D417" s="51"/>
      <c r="E417" s="52"/>
      <c r="F417" s="51"/>
      <c r="G417" s="52"/>
      <c r="H417" s="62"/>
      <c r="I417" s="115"/>
      <c r="J417" s="9"/>
      <c r="K417" s="70"/>
      <c r="L417" s="52"/>
      <c r="M417" s="8"/>
      <c r="N417" s="7"/>
      <c r="O417" s="218">
        <f t="shared" si="6"/>
        <v>0</v>
      </c>
      <c r="P417" s="218">
        <f>O417+SEPT!P417</f>
        <v>0</v>
      </c>
      <c r="Q417" s="59"/>
      <c r="R417" s="51"/>
      <c r="S417" s="65"/>
      <c r="T417" s="64"/>
      <c r="U417" s="67"/>
      <c r="V417" s="74"/>
      <c r="W417" s="6">
        <f>'CLIENT ENROLLMENT DISCHARGE '!M417</f>
        <v>0</v>
      </c>
      <c r="X417" s="76">
        <f>'CLIENT ENROLLMENT DISCHARGE '!L417</f>
        <v>0</v>
      </c>
      <c r="Y417" s="180" t="s">
        <v>0</v>
      </c>
    </row>
    <row r="418" spans="1:25" ht="50.1" customHeight="1" x14ac:dyDescent="0.25">
      <c r="A418" s="5">
        <v>404</v>
      </c>
      <c r="B418" s="10">
        <f>'CLIENT ENROLLMENT DISCHARGE '!B418</f>
        <v>0</v>
      </c>
      <c r="C418" s="4">
        <f>'CLIENT ENROLLMENT DISCHARGE '!C418</f>
        <v>0</v>
      </c>
      <c r="D418" s="52"/>
      <c r="E418" s="53"/>
      <c r="F418" s="52"/>
      <c r="G418" s="53"/>
      <c r="H418" s="63"/>
      <c r="I418" s="116"/>
      <c r="J418" s="3"/>
      <c r="K418" s="71"/>
      <c r="L418" s="53"/>
      <c r="M418" s="2"/>
      <c r="N418" s="1"/>
      <c r="O418" s="218">
        <f t="shared" si="6"/>
        <v>0</v>
      </c>
      <c r="P418" s="218">
        <f>O418+SEPT!P418</f>
        <v>0</v>
      </c>
      <c r="Q418" s="60"/>
      <c r="R418" s="52"/>
      <c r="S418" s="66"/>
      <c r="T418" s="65"/>
      <c r="U418" s="68"/>
      <c r="V418" s="59"/>
      <c r="W418" s="6">
        <f>'CLIENT ENROLLMENT DISCHARGE '!M418</f>
        <v>0</v>
      </c>
      <c r="X418" s="76">
        <f>'CLIENT ENROLLMENT DISCHARGE '!L418</f>
        <v>0</v>
      </c>
      <c r="Y418" s="180" t="s">
        <v>0</v>
      </c>
    </row>
    <row r="419" spans="1:25" ht="50.1" customHeight="1" x14ac:dyDescent="0.25">
      <c r="A419" s="5">
        <v>405</v>
      </c>
      <c r="B419" s="10">
        <f>'CLIENT ENROLLMENT DISCHARGE '!B419</f>
        <v>0</v>
      </c>
      <c r="C419" s="4">
        <f>'CLIENT ENROLLMENT DISCHARGE '!C419</f>
        <v>0</v>
      </c>
      <c r="D419" s="51"/>
      <c r="E419" s="52"/>
      <c r="F419" s="51"/>
      <c r="G419" s="52"/>
      <c r="H419" s="62"/>
      <c r="I419" s="115"/>
      <c r="J419" s="9"/>
      <c r="K419" s="70"/>
      <c r="L419" s="52"/>
      <c r="M419" s="8"/>
      <c r="N419" s="7"/>
      <c r="O419" s="218">
        <f t="shared" si="6"/>
        <v>0</v>
      </c>
      <c r="P419" s="218">
        <f>O419+SEPT!P419</f>
        <v>0</v>
      </c>
      <c r="Q419" s="59"/>
      <c r="R419" s="51"/>
      <c r="S419" s="65"/>
      <c r="T419" s="64"/>
      <c r="U419" s="67"/>
      <c r="V419" s="74"/>
      <c r="W419" s="6">
        <f>'CLIENT ENROLLMENT DISCHARGE '!M419</f>
        <v>0</v>
      </c>
      <c r="X419" s="76">
        <f>'CLIENT ENROLLMENT DISCHARGE '!L419</f>
        <v>0</v>
      </c>
      <c r="Y419" s="180" t="s">
        <v>0</v>
      </c>
    </row>
    <row r="420" spans="1:25" ht="50.1" customHeight="1" x14ac:dyDescent="0.25">
      <c r="A420" s="5">
        <v>406</v>
      </c>
      <c r="B420" s="10">
        <f>'CLIENT ENROLLMENT DISCHARGE '!B420</f>
        <v>0</v>
      </c>
      <c r="C420" s="4">
        <f>'CLIENT ENROLLMENT DISCHARGE '!C420</f>
        <v>0</v>
      </c>
      <c r="D420" s="52"/>
      <c r="E420" s="53"/>
      <c r="F420" s="52"/>
      <c r="G420" s="53"/>
      <c r="H420" s="63"/>
      <c r="I420" s="116"/>
      <c r="J420" s="3"/>
      <c r="K420" s="71"/>
      <c r="L420" s="53"/>
      <c r="M420" s="2"/>
      <c r="N420" s="1"/>
      <c r="O420" s="218">
        <f t="shared" si="6"/>
        <v>0</v>
      </c>
      <c r="P420" s="218">
        <f>O420+SEPT!P420</f>
        <v>0</v>
      </c>
      <c r="Q420" s="60"/>
      <c r="R420" s="52"/>
      <c r="S420" s="66"/>
      <c r="T420" s="65"/>
      <c r="U420" s="68"/>
      <c r="V420" s="75"/>
      <c r="W420" s="6">
        <f>'CLIENT ENROLLMENT DISCHARGE '!M420</f>
        <v>0</v>
      </c>
      <c r="X420" s="76">
        <f>'CLIENT ENROLLMENT DISCHARGE '!L420</f>
        <v>0</v>
      </c>
      <c r="Y420" s="180" t="s">
        <v>0</v>
      </c>
    </row>
    <row r="421" spans="1:25" ht="50.1" customHeight="1" x14ac:dyDescent="0.25">
      <c r="A421" s="5">
        <v>407</v>
      </c>
      <c r="B421" s="10">
        <f>'CLIENT ENROLLMENT DISCHARGE '!B421</f>
        <v>0</v>
      </c>
      <c r="C421" s="4">
        <f>'CLIENT ENROLLMENT DISCHARGE '!C421</f>
        <v>0</v>
      </c>
      <c r="D421" s="51"/>
      <c r="E421" s="52"/>
      <c r="F421" s="51"/>
      <c r="G421" s="52"/>
      <c r="H421" s="62"/>
      <c r="I421" s="115"/>
      <c r="J421" s="9"/>
      <c r="K421" s="70"/>
      <c r="L421" s="52"/>
      <c r="M421" s="8"/>
      <c r="N421" s="7"/>
      <c r="O421" s="218">
        <f t="shared" si="6"/>
        <v>0</v>
      </c>
      <c r="P421" s="218">
        <f>O421+SEPT!P421</f>
        <v>0</v>
      </c>
      <c r="Q421" s="59"/>
      <c r="R421" s="51"/>
      <c r="S421" s="65"/>
      <c r="T421" s="64"/>
      <c r="U421" s="67"/>
      <c r="V421" s="74"/>
      <c r="W421" s="6">
        <f>'CLIENT ENROLLMENT DISCHARGE '!M421</f>
        <v>0</v>
      </c>
      <c r="X421" s="76">
        <f>'CLIENT ENROLLMENT DISCHARGE '!L421</f>
        <v>0</v>
      </c>
      <c r="Y421" s="180" t="s">
        <v>0</v>
      </c>
    </row>
    <row r="422" spans="1:25" ht="50.1" customHeight="1" x14ac:dyDescent="0.25">
      <c r="A422" s="5">
        <v>408</v>
      </c>
      <c r="B422" s="10">
        <f>'CLIENT ENROLLMENT DISCHARGE '!B422</f>
        <v>0</v>
      </c>
      <c r="C422" s="4">
        <f>'CLIENT ENROLLMENT DISCHARGE '!C422</f>
        <v>0</v>
      </c>
      <c r="D422" s="52"/>
      <c r="E422" s="53"/>
      <c r="F422" s="52"/>
      <c r="G422" s="53"/>
      <c r="H422" s="63"/>
      <c r="I422" s="116"/>
      <c r="J422" s="3"/>
      <c r="K422" s="71"/>
      <c r="L422" s="53"/>
      <c r="M422" s="2"/>
      <c r="N422" s="1"/>
      <c r="O422" s="218">
        <f t="shared" si="6"/>
        <v>0</v>
      </c>
      <c r="P422" s="218">
        <f>O422+SEPT!P422</f>
        <v>0</v>
      </c>
      <c r="Q422" s="60"/>
      <c r="R422" s="52"/>
      <c r="S422" s="66"/>
      <c r="T422" s="65"/>
      <c r="U422" s="68"/>
      <c r="V422" s="59"/>
      <c r="W422" s="6">
        <f>'CLIENT ENROLLMENT DISCHARGE '!M422</f>
        <v>0</v>
      </c>
      <c r="X422" s="76">
        <f>'CLIENT ENROLLMENT DISCHARGE '!L422</f>
        <v>0</v>
      </c>
      <c r="Y422" s="180" t="s">
        <v>0</v>
      </c>
    </row>
    <row r="423" spans="1:25" ht="50.1" customHeight="1" x14ac:dyDescent="0.25">
      <c r="A423" s="5">
        <v>409</v>
      </c>
      <c r="B423" s="10">
        <f>'CLIENT ENROLLMENT DISCHARGE '!B423</f>
        <v>0</v>
      </c>
      <c r="C423" s="4">
        <f>'CLIENT ENROLLMENT DISCHARGE '!C423</f>
        <v>0</v>
      </c>
      <c r="D423" s="51"/>
      <c r="E423" s="52"/>
      <c r="F423" s="51"/>
      <c r="G423" s="52"/>
      <c r="H423" s="62"/>
      <c r="I423" s="115"/>
      <c r="J423" s="9"/>
      <c r="K423" s="70"/>
      <c r="L423" s="52"/>
      <c r="M423" s="8"/>
      <c r="N423" s="7"/>
      <c r="O423" s="218">
        <f t="shared" si="6"/>
        <v>0</v>
      </c>
      <c r="P423" s="218">
        <f>O423+SEPT!P423</f>
        <v>0</v>
      </c>
      <c r="Q423" s="59"/>
      <c r="R423" s="51"/>
      <c r="S423" s="65"/>
      <c r="T423" s="64"/>
      <c r="U423" s="67"/>
      <c r="V423" s="74"/>
      <c r="W423" s="6">
        <f>'CLIENT ENROLLMENT DISCHARGE '!M423</f>
        <v>0</v>
      </c>
      <c r="X423" s="76">
        <f>'CLIENT ENROLLMENT DISCHARGE '!L423</f>
        <v>0</v>
      </c>
      <c r="Y423" s="180" t="s">
        <v>0</v>
      </c>
    </row>
    <row r="424" spans="1:25" ht="50.1" customHeight="1" x14ac:dyDescent="0.25">
      <c r="A424" s="5">
        <v>410</v>
      </c>
      <c r="B424" s="10">
        <f>'CLIENT ENROLLMENT DISCHARGE '!B424</f>
        <v>0</v>
      </c>
      <c r="C424" s="4">
        <f>'CLIENT ENROLLMENT DISCHARGE '!C424</f>
        <v>0</v>
      </c>
      <c r="D424" s="52"/>
      <c r="E424" s="53"/>
      <c r="F424" s="52"/>
      <c r="G424" s="53"/>
      <c r="H424" s="63"/>
      <c r="I424" s="116"/>
      <c r="J424" s="3"/>
      <c r="K424" s="71"/>
      <c r="L424" s="53"/>
      <c r="M424" s="2"/>
      <c r="N424" s="1"/>
      <c r="O424" s="218">
        <f t="shared" si="6"/>
        <v>0</v>
      </c>
      <c r="P424" s="218">
        <f>O424+SEPT!P424</f>
        <v>0</v>
      </c>
      <c r="Q424" s="60"/>
      <c r="R424" s="52"/>
      <c r="S424" s="66"/>
      <c r="T424" s="65"/>
      <c r="U424" s="68"/>
      <c r="V424" s="59"/>
      <c r="W424" s="6">
        <f>'CLIENT ENROLLMENT DISCHARGE '!M424</f>
        <v>0</v>
      </c>
      <c r="X424" s="76">
        <f>'CLIENT ENROLLMENT DISCHARGE '!L424</f>
        <v>0</v>
      </c>
      <c r="Y424" s="180" t="s">
        <v>0</v>
      </c>
    </row>
    <row r="425" spans="1:25" ht="50.1" customHeight="1" x14ac:dyDescent="0.25">
      <c r="A425" s="5">
        <v>411</v>
      </c>
      <c r="B425" s="10">
        <f>'CLIENT ENROLLMENT DISCHARGE '!B425</f>
        <v>0</v>
      </c>
      <c r="C425" s="4">
        <f>'CLIENT ENROLLMENT DISCHARGE '!C425</f>
        <v>0</v>
      </c>
      <c r="D425" s="51"/>
      <c r="E425" s="52"/>
      <c r="F425" s="51"/>
      <c r="G425" s="52"/>
      <c r="H425" s="62"/>
      <c r="I425" s="115"/>
      <c r="J425" s="9"/>
      <c r="K425" s="70"/>
      <c r="L425" s="52"/>
      <c r="M425" s="8"/>
      <c r="N425" s="7"/>
      <c r="O425" s="218">
        <f t="shared" si="6"/>
        <v>0</v>
      </c>
      <c r="P425" s="218">
        <f>O425+SEPT!P425</f>
        <v>0</v>
      </c>
      <c r="Q425" s="59"/>
      <c r="R425" s="51"/>
      <c r="S425" s="65"/>
      <c r="T425" s="64"/>
      <c r="U425" s="67"/>
      <c r="V425" s="74"/>
      <c r="W425" s="6">
        <f>'CLIENT ENROLLMENT DISCHARGE '!M425</f>
        <v>0</v>
      </c>
      <c r="X425" s="76">
        <f>'CLIENT ENROLLMENT DISCHARGE '!L425</f>
        <v>0</v>
      </c>
      <c r="Y425" s="180" t="s">
        <v>0</v>
      </c>
    </row>
    <row r="426" spans="1:25" ht="50.1" customHeight="1" x14ac:dyDescent="0.25">
      <c r="A426" s="5">
        <v>412</v>
      </c>
      <c r="B426" s="10">
        <f>'CLIENT ENROLLMENT DISCHARGE '!B426</f>
        <v>0</v>
      </c>
      <c r="C426" s="4">
        <f>'CLIENT ENROLLMENT DISCHARGE '!C426</f>
        <v>0</v>
      </c>
      <c r="D426" s="52"/>
      <c r="E426" s="53"/>
      <c r="F426" s="52"/>
      <c r="G426" s="53"/>
      <c r="H426" s="63"/>
      <c r="I426" s="116"/>
      <c r="J426" s="3"/>
      <c r="K426" s="71"/>
      <c r="L426" s="53"/>
      <c r="M426" s="2"/>
      <c r="N426" s="1"/>
      <c r="O426" s="218">
        <f t="shared" si="6"/>
        <v>0</v>
      </c>
      <c r="P426" s="218">
        <f>O426+SEPT!P426</f>
        <v>0</v>
      </c>
      <c r="Q426" s="60"/>
      <c r="R426" s="52"/>
      <c r="S426" s="66"/>
      <c r="T426" s="65"/>
      <c r="U426" s="68"/>
      <c r="V426" s="59"/>
      <c r="W426" s="6">
        <f>'CLIENT ENROLLMENT DISCHARGE '!M426</f>
        <v>0</v>
      </c>
      <c r="X426" s="76">
        <f>'CLIENT ENROLLMENT DISCHARGE '!L426</f>
        <v>0</v>
      </c>
      <c r="Y426" s="180" t="s">
        <v>0</v>
      </c>
    </row>
    <row r="427" spans="1:25" ht="50.1" customHeight="1" x14ac:dyDescent="0.25">
      <c r="A427" s="5">
        <v>413</v>
      </c>
      <c r="B427" s="10">
        <f>'CLIENT ENROLLMENT DISCHARGE '!B427</f>
        <v>0</v>
      </c>
      <c r="C427" s="4">
        <f>'CLIENT ENROLLMENT DISCHARGE '!C427</f>
        <v>0</v>
      </c>
      <c r="D427" s="51"/>
      <c r="E427" s="52"/>
      <c r="F427" s="51"/>
      <c r="G427" s="52"/>
      <c r="H427" s="62"/>
      <c r="I427" s="115"/>
      <c r="J427" s="9"/>
      <c r="K427" s="70"/>
      <c r="L427" s="52"/>
      <c r="M427" s="8"/>
      <c r="N427" s="7"/>
      <c r="O427" s="218">
        <f t="shared" si="6"/>
        <v>0</v>
      </c>
      <c r="P427" s="218">
        <f>O427+SEPT!P427</f>
        <v>0</v>
      </c>
      <c r="Q427" s="59"/>
      <c r="R427" s="51"/>
      <c r="S427" s="65"/>
      <c r="T427" s="64"/>
      <c r="U427" s="67"/>
      <c r="V427" s="74"/>
      <c r="W427" s="6">
        <f>'CLIENT ENROLLMENT DISCHARGE '!M427</f>
        <v>0</v>
      </c>
      <c r="X427" s="76">
        <f>'CLIENT ENROLLMENT DISCHARGE '!L427</f>
        <v>0</v>
      </c>
      <c r="Y427" s="180" t="s">
        <v>0</v>
      </c>
    </row>
    <row r="428" spans="1:25" ht="50.1" customHeight="1" x14ac:dyDescent="0.25">
      <c r="A428" s="5">
        <v>414</v>
      </c>
      <c r="B428" s="10">
        <f>'CLIENT ENROLLMENT DISCHARGE '!B428</f>
        <v>0</v>
      </c>
      <c r="C428" s="4">
        <f>'CLIENT ENROLLMENT DISCHARGE '!C428</f>
        <v>0</v>
      </c>
      <c r="D428" s="52"/>
      <c r="E428" s="53"/>
      <c r="F428" s="52"/>
      <c r="G428" s="53"/>
      <c r="H428" s="63"/>
      <c r="I428" s="116"/>
      <c r="J428" s="3"/>
      <c r="K428" s="71"/>
      <c r="L428" s="53"/>
      <c r="M428" s="2"/>
      <c r="N428" s="1"/>
      <c r="O428" s="218">
        <f t="shared" si="6"/>
        <v>0</v>
      </c>
      <c r="P428" s="218">
        <f>O428+SEPT!P428</f>
        <v>0</v>
      </c>
      <c r="Q428" s="60"/>
      <c r="R428" s="52"/>
      <c r="S428" s="66"/>
      <c r="T428" s="65"/>
      <c r="U428" s="68"/>
      <c r="V428" s="59"/>
      <c r="W428" s="6">
        <f>'CLIENT ENROLLMENT DISCHARGE '!M428</f>
        <v>0</v>
      </c>
      <c r="X428" s="76">
        <f>'CLIENT ENROLLMENT DISCHARGE '!L428</f>
        <v>0</v>
      </c>
      <c r="Y428" s="180" t="s">
        <v>0</v>
      </c>
    </row>
    <row r="429" spans="1:25" ht="50.1" customHeight="1" x14ac:dyDescent="0.25">
      <c r="A429" s="5">
        <v>415</v>
      </c>
      <c r="B429" s="10">
        <f>'CLIENT ENROLLMENT DISCHARGE '!B429</f>
        <v>0</v>
      </c>
      <c r="C429" s="4">
        <f>'CLIENT ENROLLMENT DISCHARGE '!C429</f>
        <v>0</v>
      </c>
      <c r="D429" s="51"/>
      <c r="E429" s="52"/>
      <c r="F429" s="51"/>
      <c r="G429" s="52"/>
      <c r="H429" s="62"/>
      <c r="I429" s="115"/>
      <c r="J429" s="9"/>
      <c r="K429" s="70"/>
      <c r="L429" s="52"/>
      <c r="M429" s="8"/>
      <c r="N429" s="7"/>
      <c r="O429" s="218">
        <f t="shared" si="6"/>
        <v>0</v>
      </c>
      <c r="P429" s="218">
        <f>O429+SEPT!P429</f>
        <v>0</v>
      </c>
      <c r="Q429" s="59"/>
      <c r="R429" s="51"/>
      <c r="S429" s="65"/>
      <c r="T429" s="64"/>
      <c r="U429" s="67"/>
      <c r="V429" s="74"/>
      <c r="W429" s="6">
        <f>'CLIENT ENROLLMENT DISCHARGE '!M429</f>
        <v>0</v>
      </c>
      <c r="X429" s="76">
        <f>'CLIENT ENROLLMENT DISCHARGE '!L429</f>
        <v>0</v>
      </c>
      <c r="Y429" s="180" t="s">
        <v>0</v>
      </c>
    </row>
    <row r="430" spans="1:25" ht="50.1" customHeight="1" x14ac:dyDescent="0.25">
      <c r="A430" s="5">
        <v>416</v>
      </c>
      <c r="B430" s="10">
        <f>'CLIENT ENROLLMENT DISCHARGE '!B430</f>
        <v>0</v>
      </c>
      <c r="C430" s="4">
        <f>'CLIENT ENROLLMENT DISCHARGE '!C430</f>
        <v>0</v>
      </c>
      <c r="D430" s="52"/>
      <c r="E430" s="53"/>
      <c r="F430" s="52"/>
      <c r="G430" s="53"/>
      <c r="H430" s="63"/>
      <c r="I430" s="116"/>
      <c r="J430" s="3"/>
      <c r="K430" s="71"/>
      <c r="L430" s="53"/>
      <c r="M430" s="2"/>
      <c r="N430" s="1"/>
      <c r="O430" s="218">
        <f t="shared" si="6"/>
        <v>0</v>
      </c>
      <c r="P430" s="218">
        <f>O430+SEPT!P430</f>
        <v>0</v>
      </c>
      <c r="Q430" s="60"/>
      <c r="R430" s="52"/>
      <c r="S430" s="66"/>
      <c r="T430" s="65"/>
      <c r="U430" s="68"/>
      <c r="V430" s="75"/>
      <c r="W430" s="6">
        <f>'CLIENT ENROLLMENT DISCHARGE '!M430</f>
        <v>0</v>
      </c>
      <c r="X430" s="76">
        <f>'CLIENT ENROLLMENT DISCHARGE '!L430</f>
        <v>0</v>
      </c>
      <c r="Y430" s="180" t="s">
        <v>0</v>
      </c>
    </row>
    <row r="431" spans="1:25" ht="50.1" customHeight="1" x14ac:dyDescent="0.25">
      <c r="A431" s="5">
        <v>417</v>
      </c>
      <c r="B431" s="10">
        <f>'CLIENT ENROLLMENT DISCHARGE '!B431</f>
        <v>0</v>
      </c>
      <c r="C431" s="4">
        <f>'CLIENT ENROLLMENT DISCHARGE '!C431</f>
        <v>0</v>
      </c>
      <c r="D431" s="51"/>
      <c r="E431" s="52"/>
      <c r="F431" s="51"/>
      <c r="G431" s="52"/>
      <c r="H431" s="62"/>
      <c r="I431" s="115"/>
      <c r="J431" s="9"/>
      <c r="K431" s="70"/>
      <c r="L431" s="52"/>
      <c r="M431" s="8"/>
      <c r="N431" s="7"/>
      <c r="O431" s="218">
        <f t="shared" si="6"/>
        <v>0</v>
      </c>
      <c r="P431" s="218">
        <f>O431+SEPT!P431</f>
        <v>0</v>
      </c>
      <c r="Q431" s="59"/>
      <c r="R431" s="51"/>
      <c r="S431" s="65"/>
      <c r="T431" s="64"/>
      <c r="U431" s="67"/>
      <c r="V431" s="74"/>
      <c r="W431" s="6">
        <f>'CLIENT ENROLLMENT DISCHARGE '!M431</f>
        <v>0</v>
      </c>
      <c r="X431" s="76">
        <f>'CLIENT ENROLLMENT DISCHARGE '!L431</f>
        <v>0</v>
      </c>
      <c r="Y431" s="180" t="s">
        <v>0</v>
      </c>
    </row>
    <row r="432" spans="1:25" ht="50.1" customHeight="1" x14ac:dyDescent="0.25">
      <c r="A432" s="5">
        <v>418</v>
      </c>
      <c r="B432" s="10">
        <f>'CLIENT ENROLLMENT DISCHARGE '!B432</f>
        <v>0</v>
      </c>
      <c r="C432" s="4">
        <f>'CLIENT ENROLLMENT DISCHARGE '!C432</f>
        <v>0</v>
      </c>
      <c r="D432" s="52"/>
      <c r="E432" s="53"/>
      <c r="F432" s="52"/>
      <c r="G432" s="53"/>
      <c r="H432" s="63"/>
      <c r="I432" s="116"/>
      <c r="J432" s="3"/>
      <c r="K432" s="71"/>
      <c r="L432" s="53"/>
      <c r="M432" s="2"/>
      <c r="N432" s="1"/>
      <c r="O432" s="218">
        <f t="shared" si="6"/>
        <v>0</v>
      </c>
      <c r="P432" s="218">
        <f>O432+SEPT!P432</f>
        <v>0</v>
      </c>
      <c r="Q432" s="60"/>
      <c r="R432" s="52"/>
      <c r="S432" s="66"/>
      <c r="T432" s="65"/>
      <c r="U432" s="68"/>
      <c r="V432" s="59"/>
      <c r="W432" s="6">
        <f>'CLIENT ENROLLMENT DISCHARGE '!M432</f>
        <v>0</v>
      </c>
      <c r="X432" s="76">
        <f>'CLIENT ENROLLMENT DISCHARGE '!L432</f>
        <v>0</v>
      </c>
      <c r="Y432" s="180" t="s">
        <v>0</v>
      </c>
    </row>
    <row r="433" spans="1:25" ht="50.1" customHeight="1" x14ac:dyDescent="0.25">
      <c r="A433" s="5">
        <v>419</v>
      </c>
      <c r="B433" s="10">
        <f>'CLIENT ENROLLMENT DISCHARGE '!B433</f>
        <v>0</v>
      </c>
      <c r="C433" s="4">
        <f>'CLIENT ENROLLMENT DISCHARGE '!C433</f>
        <v>0</v>
      </c>
      <c r="D433" s="51"/>
      <c r="E433" s="52"/>
      <c r="F433" s="51"/>
      <c r="G433" s="52"/>
      <c r="H433" s="62"/>
      <c r="I433" s="115"/>
      <c r="J433" s="9"/>
      <c r="K433" s="70"/>
      <c r="L433" s="52"/>
      <c r="M433" s="8"/>
      <c r="N433" s="7"/>
      <c r="O433" s="218">
        <f t="shared" si="6"/>
        <v>0</v>
      </c>
      <c r="P433" s="218">
        <f>O433+SEPT!P433</f>
        <v>0</v>
      </c>
      <c r="Q433" s="59"/>
      <c r="R433" s="51"/>
      <c r="S433" s="65"/>
      <c r="T433" s="64"/>
      <c r="U433" s="67"/>
      <c r="V433" s="74"/>
      <c r="W433" s="6">
        <f>'CLIENT ENROLLMENT DISCHARGE '!M433</f>
        <v>0</v>
      </c>
      <c r="X433" s="76">
        <f>'CLIENT ENROLLMENT DISCHARGE '!L433</f>
        <v>0</v>
      </c>
      <c r="Y433" s="180" t="s">
        <v>0</v>
      </c>
    </row>
    <row r="434" spans="1:25" ht="50.1" customHeight="1" x14ac:dyDescent="0.25">
      <c r="A434" s="5">
        <v>420</v>
      </c>
      <c r="B434" s="10">
        <f>'CLIENT ENROLLMENT DISCHARGE '!B434</f>
        <v>0</v>
      </c>
      <c r="C434" s="4">
        <f>'CLIENT ENROLLMENT DISCHARGE '!C434</f>
        <v>0</v>
      </c>
      <c r="D434" s="52"/>
      <c r="E434" s="53"/>
      <c r="F434" s="52"/>
      <c r="G434" s="53"/>
      <c r="H434" s="63"/>
      <c r="I434" s="116"/>
      <c r="J434" s="3"/>
      <c r="K434" s="71"/>
      <c r="L434" s="53"/>
      <c r="M434" s="2"/>
      <c r="N434" s="1"/>
      <c r="O434" s="218">
        <f t="shared" si="6"/>
        <v>0</v>
      </c>
      <c r="P434" s="218">
        <f>O434+SEPT!P434</f>
        <v>0</v>
      </c>
      <c r="Q434" s="60"/>
      <c r="R434" s="52"/>
      <c r="S434" s="66"/>
      <c r="T434" s="65"/>
      <c r="U434" s="68"/>
      <c r="V434" s="59"/>
      <c r="W434" s="6">
        <f>'CLIENT ENROLLMENT DISCHARGE '!M434</f>
        <v>0</v>
      </c>
      <c r="X434" s="76">
        <f>'CLIENT ENROLLMENT DISCHARGE '!L434</f>
        <v>0</v>
      </c>
      <c r="Y434" s="180" t="s">
        <v>0</v>
      </c>
    </row>
    <row r="435" spans="1:25" ht="50.1" customHeight="1" x14ac:dyDescent="0.25">
      <c r="A435" s="5">
        <v>421</v>
      </c>
      <c r="B435" s="10">
        <f>'CLIENT ENROLLMENT DISCHARGE '!B435</f>
        <v>0</v>
      </c>
      <c r="C435" s="4">
        <f>'CLIENT ENROLLMENT DISCHARGE '!C435</f>
        <v>0</v>
      </c>
      <c r="D435" s="51"/>
      <c r="E435" s="52"/>
      <c r="F435" s="51"/>
      <c r="G435" s="52"/>
      <c r="H435" s="62"/>
      <c r="I435" s="115"/>
      <c r="J435" s="9"/>
      <c r="K435" s="70"/>
      <c r="L435" s="52"/>
      <c r="M435" s="8"/>
      <c r="N435" s="7"/>
      <c r="O435" s="218">
        <f t="shared" si="6"/>
        <v>0</v>
      </c>
      <c r="P435" s="218">
        <f>O435+SEPT!P435</f>
        <v>0</v>
      </c>
      <c r="Q435" s="59"/>
      <c r="R435" s="51"/>
      <c r="S435" s="65"/>
      <c r="T435" s="64"/>
      <c r="U435" s="67"/>
      <c r="V435" s="74"/>
      <c r="W435" s="6">
        <f>'CLIENT ENROLLMENT DISCHARGE '!M435</f>
        <v>0</v>
      </c>
      <c r="X435" s="76">
        <f>'CLIENT ENROLLMENT DISCHARGE '!L435</f>
        <v>0</v>
      </c>
      <c r="Y435" s="180" t="s">
        <v>0</v>
      </c>
    </row>
    <row r="436" spans="1:25" ht="50.1" customHeight="1" x14ac:dyDescent="0.25">
      <c r="A436" s="5">
        <v>422</v>
      </c>
      <c r="B436" s="10">
        <f>'CLIENT ENROLLMENT DISCHARGE '!B436</f>
        <v>0</v>
      </c>
      <c r="C436" s="4">
        <f>'CLIENT ENROLLMENT DISCHARGE '!C436</f>
        <v>0</v>
      </c>
      <c r="D436" s="52"/>
      <c r="E436" s="53"/>
      <c r="F436" s="52"/>
      <c r="G436" s="53"/>
      <c r="H436" s="63"/>
      <c r="I436" s="116"/>
      <c r="J436" s="3"/>
      <c r="K436" s="71"/>
      <c r="L436" s="53"/>
      <c r="M436" s="2"/>
      <c r="N436" s="1"/>
      <c r="O436" s="218">
        <f t="shared" si="6"/>
        <v>0</v>
      </c>
      <c r="P436" s="218">
        <f>O436+SEPT!P436</f>
        <v>0</v>
      </c>
      <c r="Q436" s="60"/>
      <c r="R436" s="52"/>
      <c r="S436" s="66"/>
      <c r="T436" s="65"/>
      <c r="U436" s="68"/>
      <c r="V436" s="59"/>
      <c r="W436" s="6">
        <f>'CLIENT ENROLLMENT DISCHARGE '!M436</f>
        <v>0</v>
      </c>
      <c r="X436" s="76">
        <f>'CLIENT ENROLLMENT DISCHARGE '!L436</f>
        <v>0</v>
      </c>
      <c r="Y436" s="180" t="s">
        <v>0</v>
      </c>
    </row>
    <row r="437" spans="1:25" ht="50.1" customHeight="1" x14ac:dyDescent="0.25">
      <c r="A437" s="5">
        <v>423</v>
      </c>
      <c r="B437" s="10">
        <f>'CLIENT ENROLLMENT DISCHARGE '!B437</f>
        <v>0</v>
      </c>
      <c r="C437" s="4">
        <f>'CLIENT ENROLLMENT DISCHARGE '!C437</f>
        <v>0</v>
      </c>
      <c r="D437" s="51"/>
      <c r="E437" s="52"/>
      <c r="F437" s="51"/>
      <c r="G437" s="52"/>
      <c r="H437" s="62"/>
      <c r="I437" s="115"/>
      <c r="J437" s="9"/>
      <c r="K437" s="70"/>
      <c r="L437" s="52"/>
      <c r="M437" s="8"/>
      <c r="N437" s="7"/>
      <c r="O437" s="218">
        <f t="shared" si="6"/>
        <v>0</v>
      </c>
      <c r="P437" s="218">
        <f>O437+SEPT!P437</f>
        <v>0</v>
      </c>
      <c r="Q437" s="59"/>
      <c r="R437" s="51"/>
      <c r="S437" s="65"/>
      <c r="T437" s="64"/>
      <c r="U437" s="67"/>
      <c r="V437" s="74"/>
      <c r="W437" s="6">
        <f>'CLIENT ENROLLMENT DISCHARGE '!M437</f>
        <v>0</v>
      </c>
      <c r="X437" s="76">
        <f>'CLIENT ENROLLMENT DISCHARGE '!L437</f>
        <v>0</v>
      </c>
      <c r="Y437" s="180" t="s">
        <v>0</v>
      </c>
    </row>
    <row r="438" spans="1:25" ht="50.1" customHeight="1" x14ac:dyDescent="0.25">
      <c r="A438" s="5">
        <v>424</v>
      </c>
      <c r="B438" s="10">
        <f>'CLIENT ENROLLMENT DISCHARGE '!B438</f>
        <v>0</v>
      </c>
      <c r="C438" s="4">
        <f>'CLIENT ENROLLMENT DISCHARGE '!C438</f>
        <v>0</v>
      </c>
      <c r="D438" s="52"/>
      <c r="E438" s="53"/>
      <c r="F438" s="52"/>
      <c r="G438" s="53"/>
      <c r="H438" s="63"/>
      <c r="I438" s="116"/>
      <c r="J438" s="3"/>
      <c r="K438" s="71"/>
      <c r="L438" s="53"/>
      <c r="M438" s="2"/>
      <c r="N438" s="1"/>
      <c r="O438" s="218">
        <f t="shared" si="6"/>
        <v>0</v>
      </c>
      <c r="P438" s="218">
        <f>O438+SEPT!P438</f>
        <v>0</v>
      </c>
      <c r="Q438" s="60"/>
      <c r="R438" s="52"/>
      <c r="S438" s="66"/>
      <c r="T438" s="65"/>
      <c r="U438" s="68"/>
      <c r="V438" s="59"/>
      <c r="W438" s="6">
        <f>'CLIENT ENROLLMENT DISCHARGE '!M438</f>
        <v>0</v>
      </c>
      <c r="X438" s="76">
        <f>'CLIENT ENROLLMENT DISCHARGE '!L438</f>
        <v>0</v>
      </c>
      <c r="Y438" s="180" t="s">
        <v>0</v>
      </c>
    </row>
    <row r="439" spans="1:25" ht="50.1" customHeight="1" x14ac:dyDescent="0.25">
      <c r="A439" s="5">
        <v>425</v>
      </c>
      <c r="B439" s="10">
        <f>'CLIENT ENROLLMENT DISCHARGE '!B439</f>
        <v>0</v>
      </c>
      <c r="C439" s="4">
        <f>'CLIENT ENROLLMENT DISCHARGE '!C439</f>
        <v>0</v>
      </c>
      <c r="D439" s="51"/>
      <c r="E439" s="52"/>
      <c r="F439" s="51"/>
      <c r="G439" s="52"/>
      <c r="H439" s="62"/>
      <c r="I439" s="115"/>
      <c r="J439" s="9"/>
      <c r="K439" s="70"/>
      <c r="L439" s="52"/>
      <c r="M439" s="8"/>
      <c r="N439" s="7"/>
      <c r="O439" s="218">
        <f t="shared" si="6"/>
        <v>0</v>
      </c>
      <c r="P439" s="218">
        <f>O439+SEPT!P439</f>
        <v>0</v>
      </c>
      <c r="Q439" s="59"/>
      <c r="R439" s="51"/>
      <c r="S439" s="65"/>
      <c r="T439" s="64"/>
      <c r="U439" s="67"/>
      <c r="V439" s="74"/>
      <c r="W439" s="6">
        <f>'CLIENT ENROLLMENT DISCHARGE '!M439</f>
        <v>0</v>
      </c>
      <c r="X439" s="76">
        <f>'CLIENT ENROLLMENT DISCHARGE '!L439</f>
        <v>0</v>
      </c>
      <c r="Y439" s="180" t="s">
        <v>0</v>
      </c>
    </row>
    <row r="440" spans="1:25" ht="50.1" customHeight="1" x14ac:dyDescent="0.25">
      <c r="A440" s="5">
        <v>426</v>
      </c>
      <c r="B440" s="10">
        <f>'CLIENT ENROLLMENT DISCHARGE '!B440</f>
        <v>0</v>
      </c>
      <c r="C440" s="4">
        <f>'CLIENT ENROLLMENT DISCHARGE '!C440</f>
        <v>0</v>
      </c>
      <c r="D440" s="52"/>
      <c r="E440" s="53"/>
      <c r="F440" s="52"/>
      <c r="G440" s="53"/>
      <c r="H440" s="63"/>
      <c r="I440" s="116"/>
      <c r="J440" s="3"/>
      <c r="K440" s="71"/>
      <c r="L440" s="53"/>
      <c r="M440" s="2"/>
      <c r="N440" s="1"/>
      <c r="O440" s="218">
        <f t="shared" si="6"/>
        <v>0</v>
      </c>
      <c r="P440" s="218">
        <f>O440+SEPT!P440</f>
        <v>0</v>
      </c>
      <c r="Q440" s="60"/>
      <c r="R440" s="52"/>
      <c r="S440" s="66"/>
      <c r="T440" s="65"/>
      <c r="U440" s="68"/>
      <c r="V440" s="75"/>
      <c r="W440" s="6">
        <f>'CLIENT ENROLLMENT DISCHARGE '!M440</f>
        <v>0</v>
      </c>
      <c r="X440" s="76">
        <f>'CLIENT ENROLLMENT DISCHARGE '!L440</f>
        <v>0</v>
      </c>
      <c r="Y440" s="180" t="s">
        <v>0</v>
      </c>
    </row>
    <row r="441" spans="1:25" ht="50.1" customHeight="1" x14ac:dyDescent="0.25">
      <c r="A441" s="5">
        <v>427</v>
      </c>
      <c r="B441" s="10">
        <f>'CLIENT ENROLLMENT DISCHARGE '!B441</f>
        <v>0</v>
      </c>
      <c r="C441" s="4">
        <f>'CLIENT ENROLLMENT DISCHARGE '!C441</f>
        <v>0</v>
      </c>
      <c r="D441" s="51"/>
      <c r="E441" s="52"/>
      <c r="F441" s="51"/>
      <c r="G441" s="52"/>
      <c r="H441" s="62"/>
      <c r="I441" s="115"/>
      <c r="J441" s="9"/>
      <c r="K441" s="70"/>
      <c r="L441" s="52"/>
      <c r="M441" s="8"/>
      <c r="N441" s="7"/>
      <c r="O441" s="218">
        <f t="shared" si="6"/>
        <v>0</v>
      </c>
      <c r="P441" s="218">
        <f>O441+SEPT!P441</f>
        <v>0</v>
      </c>
      <c r="Q441" s="59"/>
      <c r="R441" s="51"/>
      <c r="S441" s="65"/>
      <c r="T441" s="64"/>
      <c r="U441" s="67"/>
      <c r="V441" s="74"/>
      <c r="W441" s="6">
        <f>'CLIENT ENROLLMENT DISCHARGE '!M441</f>
        <v>0</v>
      </c>
      <c r="X441" s="76">
        <f>'CLIENT ENROLLMENT DISCHARGE '!L441</f>
        <v>0</v>
      </c>
      <c r="Y441" s="180" t="s">
        <v>0</v>
      </c>
    </row>
    <row r="442" spans="1:25" ht="50.1" customHeight="1" x14ac:dyDescent="0.25">
      <c r="A442" s="5">
        <v>428</v>
      </c>
      <c r="B442" s="10">
        <f>'CLIENT ENROLLMENT DISCHARGE '!B442</f>
        <v>0</v>
      </c>
      <c r="C442" s="4">
        <f>'CLIENT ENROLLMENT DISCHARGE '!C442</f>
        <v>0</v>
      </c>
      <c r="D442" s="52"/>
      <c r="E442" s="53"/>
      <c r="F442" s="52"/>
      <c r="G442" s="53"/>
      <c r="H442" s="63"/>
      <c r="I442" s="116"/>
      <c r="J442" s="3"/>
      <c r="K442" s="71"/>
      <c r="L442" s="53"/>
      <c r="M442" s="2"/>
      <c r="N442" s="1"/>
      <c r="O442" s="218">
        <f t="shared" si="6"/>
        <v>0</v>
      </c>
      <c r="P442" s="218">
        <f>O442+SEPT!P442</f>
        <v>0</v>
      </c>
      <c r="Q442" s="60"/>
      <c r="R442" s="52"/>
      <c r="S442" s="66"/>
      <c r="T442" s="65"/>
      <c r="U442" s="68"/>
      <c r="V442" s="59"/>
      <c r="W442" s="6">
        <f>'CLIENT ENROLLMENT DISCHARGE '!M442</f>
        <v>0</v>
      </c>
      <c r="X442" s="76">
        <f>'CLIENT ENROLLMENT DISCHARGE '!L442</f>
        <v>0</v>
      </c>
      <c r="Y442" s="180" t="s">
        <v>0</v>
      </c>
    </row>
    <row r="443" spans="1:25" ht="50.1" customHeight="1" x14ac:dyDescent="0.25">
      <c r="A443" s="5">
        <v>429</v>
      </c>
      <c r="B443" s="10">
        <f>'CLIENT ENROLLMENT DISCHARGE '!B443</f>
        <v>0</v>
      </c>
      <c r="C443" s="4">
        <f>'CLIENT ENROLLMENT DISCHARGE '!C443</f>
        <v>0</v>
      </c>
      <c r="D443" s="51"/>
      <c r="E443" s="52"/>
      <c r="F443" s="51"/>
      <c r="G443" s="52"/>
      <c r="H443" s="62"/>
      <c r="I443" s="115"/>
      <c r="J443" s="9"/>
      <c r="K443" s="70"/>
      <c r="L443" s="52"/>
      <c r="M443" s="8"/>
      <c r="N443" s="7"/>
      <c r="O443" s="218">
        <f t="shared" si="6"/>
        <v>0</v>
      </c>
      <c r="P443" s="218">
        <f>O443+SEPT!P443</f>
        <v>0</v>
      </c>
      <c r="Q443" s="59"/>
      <c r="R443" s="51"/>
      <c r="S443" s="65"/>
      <c r="T443" s="64"/>
      <c r="U443" s="67"/>
      <c r="V443" s="74"/>
      <c r="W443" s="6">
        <f>'CLIENT ENROLLMENT DISCHARGE '!M443</f>
        <v>0</v>
      </c>
      <c r="X443" s="76">
        <f>'CLIENT ENROLLMENT DISCHARGE '!L443</f>
        <v>0</v>
      </c>
      <c r="Y443" s="180" t="s">
        <v>0</v>
      </c>
    </row>
    <row r="444" spans="1:25" ht="50.1" customHeight="1" x14ac:dyDescent="0.25">
      <c r="A444" s="5">
        <v>430</v>
      </c>
      <c r="B444" s="10">
        <f>'CLIENT ENROLLMENT DISCHARGE '!B444</f>
        <v>0</v>
      </c>
      <c r="C444" s="4">
        <f>'CLIENT ENROLLMENT DISCHARGE '!C444</f>
        <v>0</v>
      </c>
      <c r="D444" s="52"/>
      <c r="E444" s="53"/>
      <c r="F444" s="52"/>
      <c r="G444" s="53"/>
      <c r="H444" s="63"/>
      <c r="I444" s="116"/>
      <c r="J444" s="3"/>
      <c r="K444" s="71"/>
      <c r="L444" s="53"/>
      <c r="M444" s="2"/>
      <c r="N444" s="1"/>
      <c r="O444" s="218">
        <f t="shared" si="6"/>
        <v>0</v>
      </c>
      <c r="P444" s="218">
        <f>O444+SEPT!P444</f>
        <v>0</v>
      </c>
      <c r="Q444" s="60"/>
      <c r="R444" s="52"/>
      <c r="S444" s="66"/>
      <c r="T444" s="65"/>
      <c r="U444" s="68"/>
      <c r="V444" s="59"/>
      <c r="W444" s="6">
        <f>'CLIENT ENROLLMENT DISCHARGE '!M444</f>
        <v>0</v>
      </c>
      <c r="X444" s="76">
        <f>'CLIENT ENROLLMENT DISCHARGE '!L444</f>
        <v>0</v>
      </c>
      <c r="Y444" s="180" t="s">
        <v>0</v>
      </c>
    </row>
    <row r="445" spans="1:25" ht="50.1" customHeight="1" x14ac:dyDescent="0.25">
      <c r="A445" s="5">
        <v>431</v>
      </c>
      <c r="B445" s="10">
        <f>'CLIENT ENROLLMENT DISCHARGE '!B445</f>
        <v>0</v>
      </c>
      <c r="C445" s="4">
        <f>'CLIENT ENROLLMENT DISCHARGE '!C445</f>
        <v>0</v>
      </c>
      <c r="D445" s="51"/>
      <c r="E445" s="52"/>
      <c r="F445" s="51"/>
      <c r="G445" s="52"/>
      <c r="H445" s="62"/>
      <c r="I445" s="115"/>
      <c r="J445" s="9"/>
      <c r="K445" s="70"/>
      <c r="L445" s="52"/>
      <c r="M445" s="8"/>
      <c r="N445" s="7"/>
      <c r="O445" s="218">
        <f t="shared" si="6"/>
        <v>0</v>
      </c>
      <c r="P445" s="218">
        <f>O445+SEPT!P445</f>
        <v>0</v>
      </c>
      <c r="Q445" s="59"/>
      <c r="R445" s="51"/>
      <c r="S445" s="65"/>
      <c r="T445" s="64"/>
      <c r="U445" s="67"/>
      <c r="V445" s="74"/>
      <c r="W445" s="6">
        <f>'CLIENT ENROLLMENT DISCHARGE '!M445</f>
        <v>0</v>
      </c>
      <c r="X445" s="76">
        <f>'CLIENT ENROLLMENT DISCHARGE '!L445</f>
        <v>0</v>
      </c>
      <c r="Y445" s="180" t="s">
        <v>0</v>
      </c>
    </row>
    <row r="446" spans="1:25" ht="50.1" customHeight="1" x14ac:dyDescent="0.25">
      <c r="A446" s="5">
        <v>432</v>
      </c>
      <c r="B446" s="10">
        <f>'CLIENT ENROLLMENT DISCHARGE '!B446</f>
        <v>0</v>
      </c>
      <c r="C446" s="4">
        <f>'CLIENT ENROLLMENT DISCHARGE '!C446</f>
        <v>0</v>
      </c>
      <c r="D446" s="52"/>
      <c r="E446" s="53"/>
      <c r="F446" s="52"/>
      <c r="G446" s="53"/>
      <c r="H446" s="63"/>
      <c r="I446" s="116"/>
      <c r="J446" s="3"/>
      <c r="K446" s="71"/>
      <c r="L446" s="53"/>
      <c r="M446" s="2"/>
      <c r="N446" s="1"/>
      <c r="O446" s="218">
        <f t="shared" si="6"/>
        <v>0</v>
      </c>
      <c r="P446" s="218">
        <f>O446+SEPT!P446</f>
        <v>0</v>
      </c>
      <c r="Q446" s="60"/>
      <c r="R446" s="52"/>
      <c r="S446" s="66"/>
      <c r="T446" s="65"/>
      <c r="U446" s="68"/>
      <c r="V446" s="59"/>
      <c r="W446" s="6">
        <f>'CLIENT ENROLLMENT DISCHARGE '!M446</f>
        <v>0</v>
      </c>
      <c r="X446" s="76">
        <f>'CLIENT ENROLLMENT DISCHARGE '!L446</f>
        <v>0</v>
      </c>
      <c r="Y446" s="180" t="s">
        <v>0</v>
      </c>
    </row>
    <row r="447" spans="1:25" ht="50.1" customHeight="1" x14ac:dyDescent="0.25">
      <c r="A447" s="5">
        <v>433</v>
      </c>
      <c r="B447" s="10">
        <f>'CLIENT ENROLLMENT DISCHARGE '!B447</f>
        <v>0</v>
      </c>
      <c r="C447" s="4">
        <f>'CLIENT ENROLLMENT DISCHARGE '!C447</f>
        <v>0</v>
      </c>
      <c r="D447" s="51"/>
      <c r="E447" s="52"/>
      <c r="F447" s="51"/>
      <c r="G447" s="52"/>
      <c r="H447" s="62"/>
      <c r="I447" s="115"/>
      <c r="J447" s="9"/>
      <c r="K447" s="70"/>
      <c r="L447" s="52"/>
      <c r="M447" s="8"/>
      <c r="N447" s="7"/>
      <c r="O447" s="218">
        <f t="shared" si="6"/>
        <v>0</v>
      </c>
      <c r="P447" s="218">
        <f>O447+SEPT!P447</f>
        <v>0</v>
      </c>
      <c r="Q447" s="59"/>
      <c r="R447" s="51"/>
      <c r="S447" s="65"/>
      <c r="T447" s="64"/>
      <c r="U447" s="67"/>
      <c r="V447" s="74"/>
      <c r="W447" s="6">
        <f>'CLIENT ENROLLMENT DISCHARGE '!M447</f>
        <v>0</v>
      </c>
      <c r="X447" s="76">
        <f>'CLIENT ENROLLMENT DISCHARGE '!L447</f>
        <v>0</v>
      </c>
      <c r="Y447" s="180" t="s">
        <v>0</v>
      </c>
    </row>
    <row r="448" spans="1:25" ht="50.1" customHeight="1" x14ac:dyDescent="0.25">
      <c r="A448" s="5">
        <v>434</v>
      </c>
      <c r="B448" s="10">
        <f>'CLIENT ENROLLMENT DISCHARGE '!B448</f>
        <v>0</v>
      </c>
      <c r="C448" s="4">
        <f>'CLIENT ENROLLMENT DISCHARGE '!C448</f>
        <v>0</v>
      </c>
      <c r="D448" s="52"/>
      <c r="E448" s="53"/>
      <c r="F448" s="52"/>
      <c r="G448" s="53"/>
      <c r="H448" s="63"/>
      <c r="I448" s="116"/>
      <c r="J448" s="3"/>
      <c r="K448" s="71"/>
      <c r="L448" s="53"/>
      <c r="M448" s="2"/>
      <c r="N448" s="1"/>
      <c r="O448" s="218">
        <f t="shared" si="6"/>
        <v>0</v>
      </c>
      <c r="P448" s="218">
        <f>O448+SEPT!P448</f>
        <v>0</v>
      </c>
      <c r="Q448" s="60"/>
      <c r="R448" s="52"/>
      <c r="S448" s="66"/>
      <c r="T448" s="65"/>
      <c r="U448" s="68"/>
      <c r="V448" s="59"/>
      <c r="W448" s="6">
        <f>'CLIENT ENROLLMENT DISCHARGE '!M448</f>
        <v>0</v>
      </c>
      <c r="X448" s="76">
        <f>'CLIENT ENROLLMENT DISCHARGE '!L448</f>
        <v>0</v>
      </c>
      <c r="Y448" s="180" t="s">
        <v>0</v>
      </c>
    </row>
    <row r="449" spans="1:25" ht="50.1" customHeight="1" x14ac:dyDescent="0.25">
      <c r="A449" s="5">
        <v>435</v>
      </c>
      <c r="B449" s="10">
        <f>'CLIENT ENROLLMENT DISCHARGE '!B449</f>
        <v>0</v>
      </c>
      <c r="C449" s="4">
        <f>'CLIENT ENROLLMENT DISCHARGE '!C449</f>
        <v>0</v>
      </c>
      <c r="D449" s="51"/>
      <c r="E449" s="52"/>
      <c r="F449" s="51"/>
      <c r="G449" s="52"/>
      <c r="H449" s="62"/>
      <c r="I449" s="115"/>
      <c r="J449" s="9"/>
      <c r="K449" s="70"/>
      <c r="L449" s="52"/>
      <c r="M449" s="8"/>
      <c r="N449" s="7"/>
      <c r="O449" s="218">
        <f t="shared" si="6"/>
        <v>0</v>
      </c>
      <c r="P449" s="218">
        <f>O449+SEPT!P449</f>
        <v>0</v>
      </c>
      <c r="Q449" s="59"/>
      <c r="R449" s="51"/>
      <c r="S449" s="65"/>
      <c r="T449" s="64"/>
      <c r="U449" s="67"/>
      <c r="V449" s="74"/>
      <c r="W449" s="6">
        <f>'CLIENT ENROLLMENT DISCHARGE '!M449</f>
        <v>0</v>
      </c>
      <c r="X449" s="76">
        <f>'CLIENT ENROLLMENT DISCHARGE '!L449</f>
        <v>0</v>
      </c>
      <c r="Y449" s="180" t="s">
        <v>0</v>
      </c>
    </row>
    <row r="450" spans="1:25" ht="50.1" customHeight="1" x14ac:dyDescent="0.25">
      <c r="A450" s="5">
        <v>436</v>
      </c>
      <c r="B450" s="10">
        <f>'CLIENT ENROLLMENT DISCHARGE '!B450</f>
        <v>0</v>
      </c>
      <c r="C450" s="4">
        <f>'CLIENT ENROLLMENT DISCHARGE '!C450</f>
        <v>0</v>
      </c>
      <c r="D450" s="52"/>
      <c r="E450" s="53"/>
      <c r="F450" s="52"/>
      <c r="G450" s="53"/>
      <c r="H450" s="63"/>
      <c r="I450" s="116"/>
      <c r="J450" s="3"/>
      <c r="K450" s="71"/>
      <c r="L450" s="53"/>
      <c r="M450" s="2"/>
      <c r="N450" s="1"/>
      <c r="O450" s="218">
        <f t="shared" si="6"/>
        <v>0</v>
      </c>
      <c r="P450" s="218">
        <f>O450+SEPT!P450</f>
        <v>0</v>
      </c>
      <c r="Q450" s="60"/>
      <c r="R450" s="52"/>
      <c r="S450" s="66"/>
      <c r="T450" s="65"/>
      <c r="U450" s="68"/>
      <c r="V450" s="75"/>
      <c r="W450" s="6">
        <f>'CLIENT ENROLLMENT DISCHARGE '!M450</f>
        <v>0</v>
      </c>
      <c r="X450" s="76">
        <f>'CLIENT ENROLLMENT DISCHARGE '!L450</f>
        <v>0</v>
      </c>
      <c r="Y450" s="180" t="s">
        <v>0</v>
      </c>
    </row>
    <row r="451" spans="1:25" ht="50.1" customHeight="1" x14ac:dyDescent="0.25">
      <c r="A451" s="5">
        <v>437</v>
      </c>
      <c r="B451" s="10">
        <f>'CLIENT ENROLLMENT DISCHARGE '!B451</f>
        <v>0</v>
      </c>
      <c r="C451" s="4">
        <f>'CLIENT ENROLLMENT DISCHARGE '!C451</f>
        <v>0</v>
      </c>
      <c r="D451" s="51"/>
      <c r="E451" s="52"/>
      <c r="F451" s="51"/>
      <c r="G451" s="52"/>
      <c r="H451" s="62"/>
      <c r="I451" s="115"/>
      <c r="J451" s="9"/>
      <c r="K451" s="70"/>
      <c r="L451" s="52"/>
      <c r="M451" s="8"/>
      <c r="N451" s="7"/>
      <c r="O451" s="218">
        <f t="shared" si="6"/>
        <v>0</v>
      </c>
      <c r="P451" s="218">
        <f>O451+SEPT!P451</f>
        <v>0</v>
      </c>
      <c r="Q451" s="59"/>
      <c r="R451" s="51"/>
      <c r="S451" s="65"/>
      <c r="T451" s="64"/>
      <c r="U451" s="67"/>
      <c r="V451" s="74"/>
      <c r="W451" s="6">
        <f>'CLIENT ENROLLMENT DISCHARGE '!M451</f>
        <v>0</v>
      </c>
      <c r="X451" s="76">
        <f>'CLIENT ENROLLMENT DISCHARGE '!L451</f>
        <v>0</v>
      </c>
      <c r="Y451" s="180" t="s">
        <v>0</v>
      </c>
    </row>
    <row r="452" spans="1:25" ht="50.1" customHeight="1" x14ac:dyDescent="0.25">
      <c r="A452" s="5">
        <v>438</v>
      </c>
      <c r="B452" s="10">
        <f>'CLIENT ENROLLMENT DISCHARGE '!B452</f>
        <v>0</v>
      </c>
      <c r="C452" s="4">
        <f>'CLIENT ENROLLMENT DISCHARGE '!C452</f>
        <v>0</v>
      </c>
      <c r="D452" s="52"/>
      <c r="E452" s="53"/>
      <c r="F452" s="52"/>
      <c r="G452" s="53"/>
      <c r="H452" s="63"/>
      <c r="I452" s="116"/>
      <c r="J452" s="3"/>
      <c r="K452" s="71"/>
      <c r="L452" s="53"/>
      <c r="M452" s="2"/>
      <c r="N452" s="1"/>
      <c r="O452" s="218">
        <f t="shared" si="6"/>
        <v>0</v>
      </c>
      <c r="P452" s="218">
        <f>O452+SEPT!P452</f>
        <v>0</v>
      </c>
      <c r="Q452" s="60"/>
      <c r="R452" s="52"/>
      <c r="S452" s="66"/>
      <c r="T452" s="65"/>
      <c r="U452" s="68"/>
      <c r="V452" s="59"/>
      <c r="W452" s="6">
        <f>'CLIENT ENROLLMENT DISCHARGE '!M452</f>
        <v>0</v>
      </c>
      <c r="X452" s="76">
        <f>'CLIENT ENROLLMENT DISCHARGE '!L452</f>
        <v>0</v>
      </c>
      <c r="Y452" s="180" t="s">
        <v>0</v>
      </c>
    </row>
    <row r="453" spans="1:25" ht="50.1" customHeight="1" x14ac:dyDescent="0.25">
      <c r="A453" s="5">
        <v>439</v>
      </c>
      <c r="B453" s="10">
        <f>'CLIENT ENROLLMENT DISCHARGE '!B453</f>
        <v>0</v>
      </c>
      <c r="C453" s="4">
        <f>'CLIENT ENROLLMENT DISCHARGE '!C453</f>
        <v>0</v>
      </c>
      <c r="D453" s="51"/>
      <c r="E453" s="52"/>
      <c r="F453" s="51"/>
      <c r="G453" s="52"/>
      <c r="H453" s="62"/>
      <c r="I453" s="115"/>
      <c r="J453" s="9"/>
      <c r="K453" s="70"/>
      <c r="L453" s="52"/>
      <c r="M453" s="8"/>
      <c r="N453" s="7"/>
      <c r="O453" s="218">
        <f t="shared" si="6"/>
        <v>0</v>
      </c>
      <c r="P453" s="218">
        <f>O453+SEPT!P453</f>
        <v>0</v>
      </c>
      <c r="Q453" s="59"/>
      <c r="R453" s="51"/>
      <c r="S453" s="65"/>
      <c r="T453" s="64"/>
      <c r="U453" s="67"/>
      <c r="V453" s="74"/>
      <c r="W453" s="6">
        <f>'CLIENT ENROLLMENT DISCHARGE '!M453</f>
        <v>0</v>
      </c>
      <c r="X453" s="76">
        <f>'CLIENT ENROLLMENT DISCHARGE '!L453</f>
        <v>0</v>
      </c>
      <c r="Y453" s="180" t="s">
        <v>0</v>
      </c>
    </row>
    <row r="454" spans="1:25" ht="50.1" customHeight="1" x14ac:dyDescent="0.25">
      <c r="A454" s="5">
        <v>440</v>
      </c>
      <c r="B454" s="10">
        <f>'CLIENT ENROLLMENT DISCHARGE '!B454</f>
        <v>0</v>
      </c>
      <c r="C454" s="4">
        <f>'CLIENT ENROLLMENT DISCHARGE '!C454</f>
        <v>0</v>
      </c>
      <c r="D454" s="52"/>
      <c r="E454" s="53"/>
      <c r="F454" s="52"/>
      <c r="G454" s="53"/>
      <c r="H454" s="63"/>
      <c r="I454" s="116"/>
      <c r="J454" s="3"/>
      <c r="K454" s="71"/>
      <c r="L454" s="53"/>
      <c r="M454" s="2"/>
      <c r="N454" s="1"/>
      <c r="O454" s="218">
        <f t="shared" si="6"/>
        <v>0</v>
      </c>
      <c r="P454" s="218">
        <f>O454+SEPT!P454</f>
        <v>0</v>
      </c>
      <c r="Q454" s="60"/>
      <c r="R454" s="52"/>
      <c r="S454" s="66"/>
      <c r="T454" s="65"/>
      <c r="U454" s="68"/>
      <c r="V454" s="59"/>
      <c r="W454" s="6">
        <f>'CLIENT ENROLLMENT DISCHARGE '!M454</f>
        <v>0</v>
      </c>
      <c r="X454" s="76">
        <f>'CLIENT ENROLLMENT DISCHARGE '!L454</f>
        <v>0</v>
      </c>
      <c r="Y454" s="180" t="s">
        <v>0</v>
      </c>
    </row>
    <row r="455" spans="1:25" ht="50.1" customHeight="1" x14ac:dyDescent="0.25">
      <c r="A455" s="5">
        <v>441</v>
      </c>
      <c r="B455" s="10">
        <f>'CLIENT ENROLLMENT DISCHARGE '!B455</f>
        <v>0</v>
      </c>
      <c r="C455" s="4">
        <f>'CLIENT ENROLLMENT DISCHARGE '!C455</f>
        <v>0</v>
      </c>
      <c r="D455" s="51"/>
      <c r="E455" s="52"/>
      <c r="F455" s="51"/>
      <c r="G455" s="52"/>
      <c r="H455" s="62"/>
      <c r="I455" s="115"/>
      <c r="J455" s="9"/>
      <c r="K455" s="70"/>
      <c r="L455" s="52"/>
      <c r="M455" s="8"/>
      <c r="N455" s="7"/>
      <c r="O455" s="218">
        <f t="shared" si="6"/>
        <v>0</v>
      </c>
      <c r="P455" s="218">
        <f>O455+SEPT!P455</f>
        <v>0</v>
      </c>
      <c r="Q455" s="59"/>
      <c r="R455" s="51"/>
      <c r="S455" s="65"/>
      <c r="T455" s="64"/>
      <c r="U455" s="67"/>
      <c r="V455" s="74"/>
      <c r="W455" s="6">
        <f>'CLIENT ENROLLMENT DISCHARGE '!M455</f>
        <v>0</v>
      </c>
      <c r="X455" s="76">
        <f>'CLIENT ENROLLMENT DISCHARGE '!L455</f>
        <v>0</v>
      </c>
      <c r="Y455" s="180" t="s">
        <v>0</v>
      </c>
    </row>
    <row r="456" spans="1:25" ht="50.1" customHeight="1" x14ac:dyDescent="0.25">
      <c r="A456" s="5">
        <v>442</v>
      </c>
      <c r="B456" s="10">
        <f>'CLIENT ENROLLMENT DISCHARGE '!B456</f>
        <v>0</v>
      </c>
      <c r="C456" s="4">
        <f>'CLIENT ENROLLMENT DISCHARGE '!C456</f>
        <v>0</v>
      </c>
      <c r="D456" s="52"/>
      <c r="E456" s="53"/>
      <c r="F456" s="52"/>
      <c r="G456" s="53"/>
      <c r="H456" s="63"/>
      <c r="I456" s="116"/>
      <c r="J456" s="3"/>
      <c r="K456" s="71"/>
      <c r="L456" s="53"/>
      <c r="M456" s="2"/>
      <c r="N456" s="1"/>
      <c r="O456" s="218">
        <f t="shared" si="6"/>
        <v>0</v>
      </c>
      <c r="P456" s="218">
        <f>O456+SEPT!P456</f>
        <v>0</v>
      </c>
      <c r="Q456" s="60"/>
      <c r="R456" s="52"/>
      <c r="S456" s="66"/>
      <c r="T456" s="65"/>
      <c r="U456" s="68"/>
      <c r="V456" s="59"/>
      <c r="W456" s="6">
        <f>'CLIENT ENROLLMENT DISCHARGE '!M456</f>
        <v>0</v>
      </c>
      <c r="X456" s="76">
        <f>'CLIENT ENROLLMENT DISCHARGE '!L456</f>
        <v>0</v>
      </c>
      <c r="Y456" s="180" t="s">
        <v>0</v>
      </c>
    </row>
    <row r="457" spans="1:25" ht="50.1" customHeight="1" x14ac:dyDescent="0.25">
      <c r="A457" s="5">
        <v>443</v>
      </c>
      <c r="B457" s="10">
        <f>'CLIENT ENROLLMENT DISCHARGE '!B457</f>
        <v>0</v>
      </c>
      <c r="C457" s="4">
        <f>'CLIENT ENROLLMENT DISCHARGE '!C457</f>
        <v>0</v>
      </c>
      <c r="D457" s="51"/>
      <c r="E457" s="52"/>
      <c r="F457" s="51"/>
      <c r="G457" s="52"/>
      <c r="H457" s="62"/>
      <c r="I457" s="115"/>
      <c r="J457" s="9"/>
      <c r="K457" s="70"/>
      <c r="L457" s="52"/>
      <c r="M457" s="8"/>
      <c r="N457" s="7"/>
      <c r="O457" s="218">
        <f t="shared" si="6"/>
        <v>0</v>
      </c>
      <c r="P457" s="218">
        <f>O457+SEPT!P457</f>
        <v>0</v>
      </c>
      <c r="Q457" s="59"/>
      <c r="R457" s="51"/>
      <c r="S457" s="65"/>
      <c r="T457" s="64"/>
      <c r="U457" s="67"/>
      <c r="V457" s="74"/>
      <c r="W457" s="6">
        <f>'CLIENT ENROLLMENT DISCHARGE '!M457</f>
        <v>0</v>
      </c>
      <c r="X457" s="76">
        <f>'CLIENT ENROLLMENT DISCHARGE '!L457</f>
        <v>0</v>
      </c>
      <c r="Y457" s="180" t="s">
        <v>0</v>
      </c>
    </row>
    <row r="458" spans="1:25" ht="50.1" customHeight="1" x14ac:dyDescent="0.25">
      <c r="A458" s="5">
        <v>444</v>
      </c>
      <c r="B458" s="10">
        <f>'CLIENT ENROLLMENT DISCHARGE '!B458</f>
        <v>0</v>
      </c>
      <c r="C458" s="4">
        <f>'CLIENT ENROLLMENT DISCHARGE '!C458</f>
        <v>0</v>
      </c>
      <c r="D458" s="52"/>
      <c r="E458" s="53"/>
      <c r="F458" s="52"/>
      <c r="G458" s="53"/>
      <c r="H458" s="63"/>
      <c r="I458" s="116"/>
      <c r="J458" s="3"/>
      <c r="K458" s="71"/>
      <c r="L458" s="53"/>
      <c r="M458" s="2"/>
      <c r="N458" s="1"/>
      <c r="O458" s="218">
        <f t="shared" si="6"/>
        <v>0</v>
      </c>
      <c r="P458" s="218">
        <f>O458+SEPT!P458</f>
        <v>0</v>
      </c>
      <c r="Q458" s="60"/>
      <c r="R458" s="52"/>
      <c r="S458" s="66"/>
      <c r="T458" s="65"/>
      <c r="U458" s="68"/>
      <c r="V458" s="59"/>
      <c r="W458" s="6">
        <f>'CLIENT ENROLLMENT DISCHARGE '!M458</f>
        <v>0</v>
      </c>
      <c r="X458" s="76">
        <f>'CLIENT ENROLLMENT DISCHARGE '!L458</f>
        <v>0</v>
      </c>
      <c r="Y458" s="180" t="s">
        <v>0</v>
      </c>
    </row>
    <row r="459" spans="1:25" ht="50.1" customHeight="1" x14ac:dyDescent="0.25">
      <c r="A459" s="5">
        <v>445</v>
      </c>
      <c r="B459" s="10">
        <f>'CLIENT ENROLLMENT DISCHARGE '!B459</f>
        <v>0</v>
      </c>
      <c r="C459" s="4">
        <f>'CLIENT ENROLLMENT DISCHARGE '!C459</f>
        <v>0</v>
      </c>
      <c r="D459" s="51"/>
      <c r="E459" s="52"/>
      <c r="F459" s="51"/>
      <c r="G459" s="52"/>
      <c r="H459" s="62"/>
      <c r="I459" s="115"/>
      <c r="J459" s="9"/>
      <c r="K459" s="70"/>
      <c r="L459" s="52"/>
      <c r="M459" s="8"/>
      <c r="N459" s="7"/>
      <c r="O459" s="218">
        <f t="shared" si="6"/>
        <v>0</v>
      </c>
      <c r="P459" s="218">
        <f>O459+SEPT!P459</f>
        <v>0</v>
      </c>
      <c r="Q459" s="59"/>
      <c r="R459" s="51"/>
      <c r="S459" s="65"/>
      <c r="T459" s="64"/>
      <c r="U459" s="67"/>
      <c r="V459" s="74"/>
      <c r="W459" s="6">
        <f>'CLIENT ENROLLMENT DISCHARGE '!M459</f>
        <v>0</v>
      </c>
      <c r="X459" s="76">
        <f>'CLIENT ENROLLMENT DISCHARGE '!L459</f>
        <v>0</v>
      </c>
      <c r="Y459" s="180" t="s">
        <v>0</v>
      </c>
    </row>
    <row r="460" spans="1:25" ht="50.1" customHeight="1" x14ac:dyDescent="0.25">
      <c r="A460" s="5">
        <v>446</v>
      </c>
      <c r="B460" s="10">
        <f>'CLIENT ENROLLMENT DISCHARGE '!B460</f>
        <v>0</v>
      </c>
      <c r="C460" s="4">
        <f>'CLIENT ENROLLMENT DISCHARGE '!C460</f>
        <v>0</v>
      </c>
      <c r="D460" s="52"/>
      <c r="E460" s="53"/>
      <c r="F460" s="52"/>
      <c r="G460" s="53"/>
      <c r="H460" s="63"/>
      <c r="I460" s="116"/>
      <c r="J460" s="3"/>
      <c r="K460" s="71"/>
      <c r="L460" s="53"/>
      <c r="M460" s="2"/>
      <c r="N460" s="1"/>
      <c r="O460" s="218">
        <f t="shared" si="6"/>
        <v>0</v>
      </c>
      <c r="P460" s="218">
        <f>O460+SEPT!P460</f>
        <v>0</v>
      </c>
      <c r="Q460" s="60"/>
      <c r="R460" s="52"/>
      <c r="S460" s="66"/>
      <c r="T460" s="65"/>
      <c r="U460" s="68"/>
      <c r="V460" s="75"/>
      <c r="W460" s="6">
        <f>'CLIENT ENROLLMENT DISCHARGE '!M460</f>
        <v>0</v>
      </c>
      <c r="X460" s="76">
        <f>'CLIENT ENROLLMENT DISCHARGE '!L460</f>
        <v>0</v>
      </c>
      <c r="Y460" s="180" t="s">
        <v>0</v>
      </c>
    </row>
    <row r="461" spans="1:25" ht="50.1" customHeight="1" x14ac:dyDescent="0.25">
      <c r="A461" s="5">
        <v>447</v>
      </c>
      <c r="B461" s="10">
        <f>'CLIENT ENROLLMENT DISCHARGE '!B461</f>
        <v>0</v>
      </c>
      <c r="C461" s="4">
        <f>'CLIENT ENROLLMENT DISCHARGE '!C461</f>
        <v>0</v>
      </c>
      <c r="D461" s="51"/>
      <c r="E461" s="52"/>
      <c r="F461" s="51"/>
      <c r="G461" s="52"/>
      <c r="H461" s="62"/>
      <c r="I461" s="115"/>
      <c r="J461" s="9"/>
      <c r="K461" s="70"/>
      <c r="L461" s="52"/>
      <c r="M461" s="8"/>
      <c r="N461" s="7"/>
      <c r="O461" s="218">
        <f t="shared" si="6"/>
        <v>0</v>
      </c>
      <c r="P461" s="218">
        <f>O461+SEPT!P461</f>
        <v>0</v>
      </c>
      <c r="Q461" s="59"/>
      <c r="R461" s="51"/>
      <c r="S461" s="65"/>
      <c r="T461" s="64"/>
      <c r="U461" s="67"/>
      <c r="V461" s="74"/>
      <c r="W461" s="6">
        <f>'CLIENT ENROLLMENT DISCHARGE '!M461</f>
        <v>0</v>
      </c>
      <c r="X461" s="76">
        <f>'CLIENT ENROLLMENT DISCHARGE '!L461</f>
        <v>0</v>
      </c>
      <c r="Y461" s="180" t="s">
        <v>0</v>
      </c>
    </row>
    <row r="462" spans="1:25" ht="50.1" customHeight="1" x14ac:dyDescent="0.25">
      <c r="A462" s="5">
        <v>448</v>
      </c>
      <c r="B462" s="10">
        <f>'CLIENT ENROLLMENT DISCHARGE '!B462</f>
        <v>0</v>
      </c>
      <c r="C462" s="4">
        <f>'CLIENT ENROLLMENT DISCHARGE '!C462</f>
        <v>0</v>
      </c>
      <c r="D462" s="52"/>
      <c r="E462" s="53"/>
      <c r="F462" s="52"/>
      <c r="G462" s="53"/>
      <c r="H462" s="63"/>
      <c r="I462" s="116"/>
      <c r="J462" s="3"/>
      <c r="K462" s="71"/>
      <c r="L462" s="53"/>
      <c r="M462" s="2"/>
      <c r="N462" s="1"/>
      <c r="O462" s="218">
        <f t="shared" si="6"/>
        <v>0</v>
      </c>
      <c r="P462" s="218">
        <f>O462+SEPT!P462</f>
        <v>0</v>
      </c>
      <c r="Q462" s="60"/>
      <c r="R462" s="52"/>
      <c r="S462" s="66"/>
      <c r="T462" s="65"/>
      <c r="U462" s="68"/>
      <c r="V462" s="59"/>
      <c r="W462" s="6">
        <f>'CLIENT ENROLLMENT DISCHARGE '!M462</f>
        <v>0</v>
      </c>
      <c r="X462" s="76">
        <f>'CLIENT ENROLLMENT DISCHARGE '!L462</f>
        <v>0</v>
      </c>
      <c r="Y462" s="180" t="s">
        <v>0</v>
      </c>
    </row>
    <row r="463" spans="1:25" ht="50.1" customHeight="1" x14ac:dyDescent="0.25">
      <c r="A463" s="5">
        <v>449</v>
      </c>
      <c r="B463" s="10">
        <f>'CLIENT ENROLLMENT DISCHARGE '!B463</f>
        <v>0</v>
      </c>
      <c r="C463" s="4">
        <f>'CLIENT ENROLLMENT DISCHARGE '!C463</f>
        <v>0</v>
      </c>
      <c r="D463" s="51"/>
      <c r="E463" s="52"/>
      <c r="F463" s="51"/>
      <c r="G463" s="52"/>
      <c r="H463" s="62"/>
      <c r="I463" s="115"/>
      <c r="J463" s="9"/>
      <c r="K463" s="70"/>
      <c r="L463" s="52"/>
      <c r="M463" s="8"/>
      <c r="N463" s="7"/>
      <c r="O463" s="218">
        <f t="shared" si="6"/>
        <v>0</v>
      </c>
      <c r="P463" s="218">
        <f>O463+SEPT!P463</f>
        <v>0</v>
      </c>
      <c r="Q463" s="59"/>
      <c r="R463" s="51"/>
      <c r="S463" s="65"/>
      <c r="T463" s="64"/>
      <c r="U463" s="67"/>
      <c r="V463" s="74"/>
      <c r="W463" s="6">
        <f>'CLIENT ENROLLMENT DISCHARGE '!M463</f>
        <v>0</v>
      </c>
      <c r="X463" s="76">
        <f>'CLIENT ENROLLMENT DISCHARGE '!L463</f>
        <v>0</v>
      </c>
      <c r="Y463" s="180" t="s">
        <v>0</v>
      </c>
    </row>
    <row r="464" spans="1:25" ht="50.1" customHeight="1" x14ac:dyDescent="0.25">
      <c r="A464" s="5">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7">K464*N464</f>
        <v>0</v>
      </c>
      <c r="P464" s="218">
        <f>O464+SEPT!P464</f>
        <v>0</v>
      </c>
      <c r="Q464" s="60"/>
      <c r="R464" s="52"/>
      <c r="S464" s="66"/>
      <c r="T464" s="65"/>
      <c r="U464" s="68"/>
      <c r="V464" s="59"/>
      <c r="W464" s="6">
        <f>'CLIENT ENROLLMENT DISCHARGE '!M464</f>
        <v>0</v>
      </c>
      <c r="X464" s="76">
        <f>'CLIENT ENROLLMENT DISCHARGE '!L464</f>
        <v>0</v>
      </c>
      <c r="Y464" s="180" t="s">
        <v>0</v>
      </c>
    </row>
    <row r="465" spans="1:25" ht="50.1" customHeight="1" x14ac:dyDescent="0.25">
      <c r="A465" s="5">
        <v>451</v>
      </c>
      <c r="B465" s="10">
        <f>'CLIENT ENROLLMENT DISCHARGE '!B465</f>
        <v>0</v>
      </c>
      <c r="C465" s="4">
        <f>'CLIENT ENROLLMENT DISCHARGE '!C465</f>
        <v>0</v>
      </c>
      <c r="D465" s="51"/>
      <c r="E465" s="52"/>
      <c r="F465" s="51"/>
      <c r="G465" s="52"/>
      <c r="H465" s="62"/>
      <c r="I465" s="115"/>
      <c r="J465" s="9"/>
      <c r="K465" s="70"/>
      <c r="L465" s="52"/>
      <c r="M465" s="8"/>
      <c r="N465" s="7"/>
      <c r="O465" s="218">
        <f t="shared" si="7"/>
        <v>0</v>
      </c>
      <c r="P465" s="218">
        <f>O465+SEPT!P465</f>
        <v>0</v>
      </c>
      <c r="Q465" s="59"/>
      <c r="R465" s="51"/>
      <c r="S465" s="65"/>
      <c r="T465" s="64"/>
      <c r="U465" s="67"/>
      <c r="V465" s="74"/>
      <c r="W465" s="6">
        <f>'CLIENT ENROLLMENT DISCHARGE '!M465</f>
        <v>0</v>
      </c>
      <c r="X465" s="76">
        <f>'CLIENT ENROLLMENT DISCHARGE '!L465</f>
        <v>0</v>
      </c>
      <c r="Y465" s="180" t="s">
        <v>0</v>
      </c>
    </row>
    <row r="466" spans="1:25" ht="50.1" customHeight="1" x14ac:dyDescent="0.25">
      <c r="A466" s="5">
        <v>452</v>
      </c>
      <c r="B466" s="10">
        <f>'CLIENT ENROLLMENT DISCHARGE '!B466</f>
        <v>0</v>
      </c>
      <c r="C466" s="4">
        <f>'CLIENT ENROLLMENT DISCHARGE '!C466</f>
        <v>0</v>
      </c>
      <c r="D466" s="52"/>
      <c r="E466" s="53"/>
      <c r="F466" s="52"/>
      <c r="G466" s="53"/>
      <c r="H466" s="63"/>
      <c r="I466" s="116"/>
      <c r="J466" s="3"/>
      <c r="K466" s="71"/>
      <c r="L466" s="53"/>
      <c r="M466" s="2"/>
      <c r="N466" s="1"/>
      <c r="O466" s="218">
        <f t="shared" si="7"/>
        <v>0</v>
      </c>
      <c r="P466" s="218">
        <f>O466+SEPT!P466</f>
        <v>0</v>
      </c>
      <c r="Q466" s="60"/>
      <c r="R466" s="52"/>
      <c r="S466" s="66"/>
      <c r="T466" s="65"/>
      <c r="U466" s="68"/>
      <c r="V466" s="59"/>
      <c r="W466" s="6">
        <f>'CLIENT ENROLLMENT DISCHARGE '!M466</f>
        <v>0</v>
      </c>
      <c r="X466" s="76">
        <f>'CLIENT ENROLLMENT DISCHARGE '!L466</f>
        <v>0</v>
      </c>
      <c r="Y466" s="180" t="s">
        <v>0</v>
      </c>
    </row>
    <row r="467" spans="1:25" ht="50.1" customHeight="1" x14ac:dyDescent="0.25">
      <c r="A467" s="5">
        <v>453</v>
      </c>
      <c r="B467" s="10">
        <f>'CLIENT ENROLLMENT DISCHARGE '!B467</f>
        <v>0</v>
      </c>
      <c r="C467" s="4">
        <f>'CLIENT ENROLLMENT DISCHARGE '!C467</f>
        <v>0</v>
      </c>
      <c r="D467" s="51"/>
      <c r="E467" s="52"/>
      <c r="F467" s="51"/>
      <c r="G467" s="52"/>
      <c r="H467" s="62"/>
      <c r="I467" s="115"/>
      <c r="J467" s="9"/>
      <c r="K467" s="70"/>
      <c r="L467" s="52"/>
      <c r="M467" s="8"/>
      <c r="N467" s="7"/>
      <c r="O467" s="218">
        <f t="shared" si="7"/>
        <v>0</v>
      </c>
      <c r="P467" s="218">
        <f>O467+SEPT!P467</f>
        <v>0</v>
      </c>
      <c r="Q467" s="59"/>
      <c r="R467" s="51"/>
      <c r="S467" s="65"/>
      <c r="T467" s="64"/>
      <c r="U467" s="67"/>
      <c r="V467" s="74"/>
      <c r="W467" s="6">
        <f>'CLIENT ENROLLMENT DISCHARGE '!M467</f>
        <v>0</v>
      </c>
      <c r="X467" s="76">
        <f>'CLIENT ENROLLMENT DISCHARGE '!L467</f>
        <v>0</v>
      </c>
      <c r="Y467" s="180" t="s">
        <v>0</v>
      </c>
    </row>
    <row r="468" spans="1:25" ht="50.1" customHeight="1" x14ac:dyDescent="0.25">
      <c r="A468" s="5">
        <v>454</v>
      </c>
      <c r="B468" s="10">
        <f>'CLIENT ENROLLMENT DISCHARGE '!B468</f>
        <v>0</v>
      </c>
      <c r="C468" s="4">
        <f>'CLIENT ENROLLMENT DISCHARGE '!C468</f>
        <v>0</v>
      </c>
      <c r="D468" s="52"/>
      <c r="E468" s="53"/>
      <c r="F468" s="52"/>
      <c r="G468" s="53"/>
      <c r="H468" s="63"/>
      <c r="I468" s="116"/>
      <c r="J468" s="3"/>
      <c r="K468" s="71"/>
      <c r="L468" s="53"/>
      <c r="M468" s="2"/>
      <c r="N468" s="1"/>
      <c r="O468" s="218">
        <f t="shared" si="7"/>
        <v>0</v>
      </c>
      <c r="P468" s="218">
        <f>O468+SEPT!P468</f>
        <v>0</v>
      </c>
      <c r="Q468" s="60"/>
      <c r="R468" s="52"/>
      <c r="S468" s="66"/>
      <c r="T468" s="65"/>
      <c r="U468" s="68"/>
      <c r="V468" s="59"/>
      <c r="W468" s="6">
        <f>'CLIENT ENROLLMENT DISCHARGE '!M468</f>
        <v>0</v>
      </c>
      <c r="X468" s="76">
        <f>'CLIENT ENROLLMENT DISCHARGE '!L468</f>
        <v>0</v>
      </c>
      <c r="Y468" s="180" t="s">
        <v>0</v>
      </c>
    </row>
    <row r="469" spans="1:25" ht="50.1" customHeight="1" x14ac:dyDescent="0.25">
      <c r="A469" s="5">
        <v>455</v>
      </c>
      <c r="B469" s="10">
        <f>'CLIENT ENROLLMENT DISCHARGE '!B469</f>
        <v>0</v>
      </c>
      <c r="C469" s="4">
        <f>'CLIENT ENROLLMENT DISCHARGE '!C469</f>
        <v>0</v>
      </c>
      <c r="D469" s="51"/>
      <c r="E469" s="52"/>
      <c r="F469" s="51"/>
      <c r="G469" s="52"/>
      <c r="H469" s="62"/>
      <c r="I469" s="115"/>
      <c r="J469" s="9"/>
      <c r="K469" s="70"/>
      <c r="L469" s="52"/>
      <c r="M469" s="8"/>
      <c r="N469" s="7"/>
      <c r="O469" s="218">
        <f t="shared" si="7"/>
        <v>0</v>
      </c>
      <c r="P469" s="218">
        <f>O469+SEPT!P469</f>
        <v>0</v>
      </c>
      <c r="Q469" s="59"/>
      <c r="R469" s="51"/>
      <c r="S469" s="65"/>
      <c r="T469" s="64"/>
      <c r="U469" s="67"/>
      <c r="V469" s="74"/>
      <c r="W469" s="6">
        <f>'CLIENT ENROLLMENT DISCHARGE '!M469</f>
        <v>0</v>
      </c>
      <c r="X469" s="76">
        <f>'CLIENT ENROLLMENT DISCHARGE '!L469</f>
        <v>0</v>
      </c>
      <c r="Y469" s="180" t="s">
        <v>0</v>
      </c>
    </row>
    <row r="470" spans="1:25" ht="50.1" customHeight="1" x14ac:dyDescent="0.25">
      <c r="A470" s="5">
        <v>456</v>
      </c>
      <c r="B470" s="10">
        <f>'CLIENT ENROLLMENT DISCHARGE '!B470</f>
        <v>0</v>
      </c>
      <c r="C470" s="4">
        <f>'CLIENT ENROLLMENT DISCHARGE '!C470</f>
        <v>0</v>
      </c>
      <c r="D470" s="52"/>
      <c r="E470" s="53"/>
      <c r="F470" s="52"/>
      <c r="G470" s="53"/>
      <c r="H470" s="63"/>
      <c r="I470" s="116"/>
      <c r="J470" s="3"/>
      <c r="K470" s="71"/>
      <c r="L470" s="53"/>
      <c r="M470" s="2"/>
      <c r="N470" s="1"/>
      <c r="O470" s="218">
        <f t="shared" si="7"/>
        <v>0</v>
      </c>
      <c r="P470" s="218">
        <f>O470+SEPT!P470</f>
        <v>0</v>
      </c>
      <c r="Q470" s="60"/>
      <c r="R470" s="52"/>
      <c r="S470" s="66"/>
      <c r="T470" s="65"/>
      <c r="U470" s="68"/>
      <c r="V470" s="75"/>
      <c r="W470" s="6">
        <f>'CLIENT ENROLLMENT DISCHARGE '!M470</f>
        <v>0</v>
      </c>
      <c r="X470" s="76">
        <f>'CLIENT ENROLLMENT DISCHARGE '!L470</f>
        <v>0</v>
      </c>
      <c r="Y470" s="180" t="s">
        <v>0</v>
      </c>
    </row>
    <row r="471" spans="1:25" ht="50.1" customHeight="1" x14ac:dyDescent="0.25">
      <c r="A471" s="5">
        <v>457</v>
      </c>
      <c r="B471" s="10">
        <f>'CLIENT ENROLLMENT DISCHARGE '!B471</f>
        <v>0</v>
      </c>
      <c r="C471" s="4">
        <f>'CLIENT ENROLLMENT DISCHARGE '!C471</f>
        <v>0</v>
      </c>
      <c r="D471" s="51"/>
      <c r="E471" s="52"/>
      <c r="F471" s="51"/>
      <c r="G471" s="52"/>
      <c r="H471" s="62"/>
      <c r="I471" s="115"/>
      <c r="J471" s="9"/>
      <c r="K471" s="70"/>
      <c r="L471" s="52"/>
      <c r="M471" s="8"/>
      <c r="N471" s="7"/>
      <c r="O471" s="218">
        <f t="shared" si="7"/>
        <v>0</v>
      </c>
      <c r="P471" s="218">
        <f>O471+SEPT!P471</f>
        <v>0</v>
      </c>
      <c r="Q471" s="59"/>
      <c r="R471" s="51"/>
      <c r="S471" s="65"/>
      <c r="T471" s="64"/>
      <c r="U471" s="67"/>
      <c r="V471" s="74"/>
      <c r="W471" s="6">
        <f>'CLIENT ENROLLMENT DISCHARGE '!M471</f>
        <v>0</v>
      </c>
      <c r="X471" s="76">
        <f>'CLIENT ENROLLMENT DISCHARGE '!L471</f>
        <v>0</v>
      </c>
      <c r="Y471" s="180" t="s">
        <v>0</v>
      </c>
    </row>
    <row r="472" spans="1:25" ht="50.1" customHeight="1" x14ac:dyDescent="0.25">
      <c r="A472" s="5">
        <v>458</v>
      </c>
      <c r="B472" s="10">
        <f>'CLIENT ENROLLMENT DISCHARGE '!B472</f>
        <v>0</v>
      </c>
      <c r="C472" s="4">
        <f>'CLIENT ENROLLMENT DISCHARGE '!C472</f>
        <v>0</v>
      </c>
      <c r="D472" s="52"/>
      <c r="E472" s="53"/>
      <c r="F472" s="52"/>
      <c r="G472" s="53"/>
      <c r="H472" s="63"/>
      <c r="I472" s="116"/>
      <c r="J472" s="3"/>
      <c r="K472" s="71"/>
      <c r="L472" s="53"/>
      <c r="M472" s="2"/>
      <c r="N472" s="1"/>
      <c r="O472" s="218">
        <f t="shared" si="7"/>
        <v>0</v>
      </c>
      <c r="P472" s="218">
        <f>O472+SEPT!P472</f>
        <v>0</v>
      </c>
      <c r="Q472" s="60"/>
      <c r="R472" s="52"/>
      <c r="S472" s="66"/>
      <c r="T472" s="65"/>
      <c r="U472" s="68"/>
      <c r="V472" s="59"/>
      <c r="W472" s="6">
        <f>'CLIENT ENROLLMENT DISCHARGE '!M472</f>
        <v>0</v>
      </c>
      <c r="X472" s="76">
        <f>'CLIENT ENROLLMENT DISCHARGE '!L472</f>
        <v>0</v>
      </c>
      <c r="Y472" s="180" t="s">
        <v>0</v>
      </c>
    </row>
    <row r="473" spans="1:25" ht="50.1" customHeight="1" x14ac:dyDescent="0.25">
      <c r="A473" s="5">
        <v>459</v>
      </c>
      <c r="B473" s="10">
        <f>'CLIENT ENROLLMENT DISCHARGE '!B473</f>
        <v>0</v>
      </c>
      <c r="C473" s="4">
        <f>'CLIENT ENROLLMENT DISCHARGE '!C473</f>
        <v>0</v>
      </c>
      <c r="D473" s="51"/>
      <c r="E473" s="52"/>
      <c r="F473" s="51"/>
      <c r="G473" s="52"/>
      <c r="H473" s="62"/>
      <c r="I473" s="115"/>
      <c r="J473" s="9"/>
      <c r="K473" s="70"/>
      <c r="L473" s="52"/>
      <c r="M473" s="8"/>
      <c r="N473" s="7"/>
      <c r="O473" s="218">
        <f t="shared" si="7"/>
        <v>0</v>
      </c>
      <c r="P473" s="218">
        <f>O473+SEPT!P473</f>
        <v>0</v>
      </c>
      <c r="Q473" s="59"/>
      <c r="R473" s="51"/>
      <c r="S473" s="65"/>
      <c r="T473" s="64"/>
      <c r="U473" s="67"/>
      <c r="V473" s="74"/>
      <c r="W473" s="6">
        <f>'CLIENT ENROLLMENT DISCHARGE '!M473</f>
        <v>0</v>
      </c>
      <c r="X473" s="76">
        <f>'CLIENT ENROLLMENT DISCHARGE '!L473</f>
        <v>0</v>
      </c>
      <c r="Y473" s="180" t="s">
        <v>0</v>
      </c>
    </row>
    <row r="474" spans="1:25" ht="50.1" customHeight="1" x14ac:dyDescent="0.25">
      <c r="A474" s="5">
        <v>460</v>
      </c>
      <c r="B474" s="10">
        <f>'CLIENT ENROLLMENT DISCHARGE '!B474</f>
        <v>0</v>
      </c>
      <c r="C474" s="4">
        <f>'CLIENT ENROLLMENT DISCHARGE '!C474</f>
        <v>0</v>
      </c>
      <c r="D474" s="52"/>
      <c r="E474" s="53"/>
      <c r="F474" s="52"/>
      <c r="G474" s="53"/>
      <c r="H474" s="63"/>
      <c r="I474" s="116"/>
      <c r="J474" s="3"/>
      <c r="K474" s="71"/>
      <c r="L474" s="53"/>
      <c r="M474" s="2"/>
      <c r="N474" s="1"/>
      <c r="O474" s="218">
        <f t="shared" si="7"/>
        <v>0</v>
      </c>
      <c r="P474" s="218">
        <f>O474+SEPT!P474</f>
        <v>0</v>
      </c>
      <c r="Q474" s="60"/>
      <c r="R474" s="52"/>
      <c r="S474" s="66"/>
      <c r="T474" s="65"/>
      <c r="U474" s="68"/>
      <c r="V474" s="59"/>
      <c r="W474" s="6">
        <f>'CLIENT ENROLLMENT DISCHARGE '!M474</f>
        <v>0</v>
      </c>
      <c r="X474" s="76">
        <f>'CLIENT ENROLLMENT DISCHARGE '!L474</f>
        <v>0</v>
      </c>
      <c r="Y474" s="180" t="s">
        <v>0</v>
      </c>
    </row>
    <row r="475" spans="1:25" ht="50.1" customHeight="1" x14ac:dyDescent="0.25">
      <c r="A475" s="5">
        <v>461</v>
      </c>
      <c r="B475" s="10">
        <f>'CLIENT ENROLLMENT DISCHARGE '!B475</f>
        <v>0</v>
      </c>
      <c r="C475" s="4">
        <f>'CLIENT ENROLLMENT DISCHARGE '!C475</f>
        <v>0</v>
      </c>
      <c r="D475" s="51"/>
      <c r="E475" s="52"/>
      <c r="F475" s="51"/>
      <c r="G475" s="52"/>
      <c r="H475" s="62"/>
      <c r="I475" s="115"/>
      <c r="J475" s="9"/>
      <c r="K475" s="70"/>
      <c r="L475" s="52"/>
      <c r="M475" s="8"/>
      <c r="N475" s="7"/>
      <c r="O475" s="218">
        <f t="shared" si="7"/>
        <v>0</v>
      </c>
      <c r="P475" s="218">
        <f>O475+SEPT!P475</f>
        <v>0</v>
      </c>
      <c r="Q475" s="59"/>
      <c r="R475" s="51"/>
      <c r="S475" s="65"/>
      <c r="T475" s="64"/>
      <c r="U475" s="67"/>
      <c r="V475" s="74"/>
      <c r="W475" s="6">
        <f>'CLIENT ENROLLMENT DISCHARGE '!M475</f>
        <v>0</v>
      </c>
      <c r="X475" s="76">
        <f>'CLIENT ENROLLMENT DISCHARGE '!L475</f>
        <v>0</v>
      </c>
      <c r="Y475" s="180" t="s">
        <v>0</v>
      </c>
    </row>
    <row r="476" spans="1:25" ht="50.1" customHeight="1" x14ac:dyDescent="0.25">
      <c r="A476" s="5">
        <v>462</v>
      </c>
      <c r="B476" s="10">
        <f>'CLIENT ENROLLMENT DISCHARGE '!B476</f>
        <v>0</v>
      </c>
      <c r="C476" s="4">
        <f>'CLIENT ENROLLMENT DISCHARGE '!C476</f>
        <v>0</v>
      </c>
      <c r="D476" s="52"/>
      <c r="E476" s="53"/>
      <c r="F476" s="52"/>
      <c r="G476" s="53"/>
      <c r="H476" s="63"/>
      <c r="I476" s="116"/>
      <c r="J476" s="3"/>
      <c r="K476" s="71"/>
      <c r="L476" s="53"/>
      <c r="M476" s="2"/>
      <c r="N476" s="1"/>
      <c r="O476" s="218">
        <f t="shared" si="7"/>
        <v>0</v>
      </c>
      <c r="P476" s="218">
        <f>O476+SEPT!P476</f>
        <v>0</v>
      </c>
      <c r="Q476" s="60"/>
      <c r="R476" s="52"/>
      <c r="S476" s="66"/>
      <c r="T476" s="65"/>
      <c r="U476" s="68"/>
      <c r="V476" s="59"/>
      <c r="W476" s="6">
        <f>'CLIENT ENROLLMENT DISCHARGE '!M476</f>
        <v>0</v>
      </c>
      <c r="X476" s="76">
        <f>'CLIENT ENROLLMENT DISCHARGE '!L476</f>
        <v>0</v>
      </c>
      <c r="Y476" s="180" t="s">
        <v>0</v>
      </c>
    </row>
    <row r="477" spans="1:25" ht="50.1" customHeight="1" x14ac:dyDescent="0.25">
      <c r="A477" s="5">
        <v>463</v>
      </c>
      <c r="B477" s="10">
        <f>'CLIENT ENROLLMENT DISCHARGE '!B477</f>
        <v>0</v>
      </c>
      <c r="C477" s="4">
        <f>'CLIENT ENROLLMENT DISCHARGE '!C477</f>
        <v>0</v>
      </c>
      <c r="D477" s="51"/>
      <c r="E477" s="52"/>
      <c r="F477" s="51"/>
      <c r="G477" s="52"/>
      <c r="H477" s="62"/>
      <c r="I477" s="115"/>
      <c r="J477" s="9"/>
      <c r="K477" s="70"/>
      <c r="L477" s="52"/>
      <c r="M477" s="8"/>
      <c r="N477" s="7"/>
      <c r="O477" s="218">
        <f t="shared" si="7"/>
        <v>0</v>
      </c>
      <c r="P477" s="218">
        <f>O477+SEPT!P477</f>
        <v>0</v>
      </c>
      <c r="Q477" s="59"/>
      <c r="R477" s="51"/>
      <c r="S477" s="65"/>
      <c r="T477" s="64"/>
      <c r="U477" s="67"/>
      <c r="V477" s="74"/>
      <c r="W477" s="6">
        <f>'CLIENT ENROLLMENT DISCHARGE '!M477</f>
        <v>0</v>
      </c>
      <c r="X477" s="76">
        <f>'CLIENT ENROLLMENT DISCHARGE '!L477</f>
        <v>0</v>
      </c>
      <c r="Y477" s="180" t="s">
        <v>0</v>
      </c>
    </row>
    <row r="478" spans="1:25" ht="50.1" customHeight="1" x14ac:dyDescent="0.25">
      <c r="A478" s="5">
        <v>464</v>
      </c>
      <c r="B478" s="10">
        <f>'CLIENT ENROLLMENT DISCHARGE '!B478</f>
        <v>0</v>
      </c>
      <c r="C478" s="4">
        <f>'CLIENT ENROLLMENT DISCHARGE '!C478</f>
        <v>0</v>
      </c>
      <c r="D478" s="52"/>
      <c r="E478" s="53"/>
      <c r="F478" s="52"/>
      <c r="G478" s="53"/>
      <c r="H478" s="63"/>
      <c r="I478" s="116"/>
      <c r="J478" s="3"/>
      <c r="K478" s="71"/>
      <c r="L478" s="53"/>
      <c r="M478" s="2"/>
      <c r="N478" s="1"/>
      <c r="O478" s="218">
        <f t="shared" si="7"/>
        <v>0</v>
      </c>
      <c r="P478" s="218">
        <f>O478+SEPT!P478</f>
        <v>0</v>
      </c>
      <c r="Q478" s="60"/>
      <c r="R478" s="52"/>
      <c r="S478" s="66"/>
      <c r="T478" s="65"/>
      <c r="U478" s="68"/>
      <c r="V478" s="59"/>
      <c r="W478" s="6">
        <f>'CLIENT ENROLLMENT DISCHARGE '!M478</f>
        <v>0</v>
      </c>
      <c r="X478" s="76">
        <f>'CLIENT ENROLLMENT DISCHARGE '!L478</f>
        <v>0</v>
      </c>
      <c r="Y478" s="180" t="s">
        <v>0</v>
      </c>
    </row>
    <row r="479" spans="1:25" ht="50.1" customHeight="1" x14ac:dyDescent="0.25">
      <c r="A479" s="5">
        <v>465</v>
      </c>
      <c r="B479" s="10">
        <f>'CLIENT ENROLLMENT DISCHARGE '!B479</f>
        <v>0</v>
      </c>
      <c r="C479" s="4">
        <f>'CLIENT ENROLLMENT DISCHARGE '!C479</f>
        <v>0</v>
      </c>
      <c r="D479" s="51"/>
      <c r="E479" s="52"/>
      <c r="F479" s="51"/>
      <c r="G479" s="52"/>
      <c r="H479" s="62"/>
      <c r="I479" s="115"/>
      <c r="J479" s="9"/>
      <c r="K479" s="70"/>
      <c r="L479" s="52"/>
      <c r="M479" s="8"/>
      <c r="N479" s="7"/>
      <c r="O479" s="218">
        <f t="shared" si="7"/>
        <v>0</v>
      </c>
      <c r="P479" s="218">
        <f>O479+SEPT!P479</f>
        <v>0</v>
      </c>
      <c r="Q479" s="59"/>
      <c r="R479" s="51"/>
      <c r="S479" s="65"/>
      <c r="T479" s="64"/>
      <c r="U479" s="67"/>
      <c r="V479" s="74"/>
      <c r="W479" s="6">
        <f>'CLIENT ENROLLMENT DISCHARGE '!M479</f>
        <v>0</v>
      </c>
      <c r="X479" s="76">
        <f>'CLIENT ENROLLMENT DISCHARGE '!L479</f>
        <v>0</v>
      </c>
      <c r="Y479" s="180" t="s">
        <v>0</v>
      </c>
    </row>
    <row r="480" spans="1:25" ht="50.1" customHeight="1" x14ac:dyDescent="0.25">
      <c r="A480" s="5">
        <v>466</v>
      </c>
      <c r="B480" s="10">
        <f>'CLIENT ENROLLMENT DISCHARGE '!B480</f>
        <v>0</v>
      </c>
      <c r="C480" s="4">
        <f>'CLIENT ENROLLMENT DISCHARGE '!C480</f>
        <v>0</v>
      </c>
      <c r="D480" s="52"/>
      <c r="E480" s="53"/>
      <c r="F480" s="52"/>
      <c r="G480" s="53"/>
      <c r="H480" s="63"/>
      <c r="I480" s="116"/>
      <c r="J480" s="3"/>
      <c r="K480" s="71"/>
      <c r="L480" s="53"/>
      <c r="M480" s="2"/>
      <c r="N480" s="1"/>
      <c r="O480" s="218">
        <f t="shared" si="7"/>
        <v>0</v>
      </c>
      <c r="P480" s="218">
        <f>O480+SEPT!P480</f>
        <v>0</v>
      </c>
      <c r="Q480" s="60"/>
      <c r="R480" s="52"/>
      <c r="S480" s="66"/>
      <c r="T480" s="65"/>
      <c r="U480" s="68"/>
      <c r="V480" s="75"/>
      <c r="W480" s="6">
        <f>'CLIENT ENROLLMENT DISCHARGE '!M480</f>
        <v>0</v>
      </c>
      <c r="X480" s="76">
        <f>'CLIENT ENROLLMENT DISCHARGE '!L480</f>
        <v>0</v>
      </c>
      <c r="Y480" s="180" t="s">
        <v>0</v>
      </c>
    </row>
    <row r="481" spans="1:25" ht="50.1" customHeight="1" x14ac:dyDescent="0.25">
      <c r="A481" s="5">
        <v>467</v>
      </c>
      <c r="B481" s="10">
        <f>'CLIENT ENROLLMENT DISCHARGE '!B481</f>
        <v>0</v>
      </c>
      <c r="C481" s="4">
        <f>'CLIENT ENROLLMENT DISCHARGE '!C481</f>
        <v>0</v>
      </c>
      <c r="D481" s="51"/>
      <c r="E481" s="52"/>
      <c r="F481" s="51"/>
      <c r="G481" s="52"/>
      <c r="H481" s="62"/>
      <c r="I481" s="115"/>
      <c r="J481" s="9"/>
      <c r="K481" s="70"/>
      <c r="L481" s="52"/>
      <c r="M481" s="8"/>
      <c r="N481" s="7"/>
      <c r="O481" s="218">
        <f t="shared" si="7"/>
        <v>0</v>
      </c>
      <c r="P481" s="218">
        <f>O481+SEPT!P481</f>
        <v>0</v>
      </c>
      <c r="Q481" s="59"/>
      <c r="R481" s="51"/>
      <c r="S481" s="65"/>
      <c r="T481" s="64"/>
      <c r="U481" s="67"/>
      <c r="V481" s="74"/>
      <c r="W481" s="6">
        <f>'CLIENT ENROLLMENT DISCHARGE '!M481</f>
        <v>0</v>
      </c>
      <c r="X481" s="76">
        <f>'CLIENT ENROLLMENT DISCHARGE '!L481</f>
        <v>0</v>
      </c>
      <c r="Y481" s="180" t="s">
        <v>0</v>
      </c>
    </row>
    <row r="482" spans="1:25" ht="50.1" customHeight="1" x14ac:dyDescent="0.25">
      <c r="A482" s="5">
        <v>468</v>
      </c>
      <c r="B482" s="10">
        <f>'CLIENT ENROLLMENT DISCHARGE '!B482</f>
        <v>0</v>
      </c>
      <c r="C482" s="4">
        <f>'CLIENT ENROLLMENT DISCHARGE '!C482</f>
        <v>0</v>
      </c>
      <c r="D482" s="52"/>
      <c r="E482" s="53"/>
      <c r="F482" s="52"/>
      <c r="G482" s="53"/>
      <c r="H482" s="63"/>
      <c r="I482" s="116"/>
      <c r="J482" s="3"/>
      <c r="K482" s="71"/>
      <c r="L482" s="53"/>
      <c r="M482" s="2"/>
      <c r="N482" s="1"/>
      <c r="O482" s="218">
        <f t="shared" si="7"/>
        <v>0</v>
      </c>
      <c r="P482" s="218">
        <f>O482+SEPT!P482</f>
        <v>0</v>
      </c>
      <c r="Q482" s="60"/>
      <c r="R482" s="52"/>
      <c r="S482" s="66"/>
      <c r="T482" s="65"/>
      <c r="U482" s="68"/>
      <c r="V482" s="59"/>
      <c r="W482" s="6">
        <f>'CLIENT ENROLLMENT DISCHARGE '!M482</f>
        <v>0</v>
      </c>
      <c r="X482" s="76">
        <f>'CLIENT ENROLLMENT DISCHARGE '!L482</f>
        <v>0</v>
      </c>
      <c r="Y482" s="180" t="s">
        <v>0</v>
      </c>
    </row>
    <row r="483" spans="1:25" ht="50.1" customHeight="1" x14ac:dyDescent="0.25">
      <c r="A483" s="5">
        <v>469</v>
      </c>
      <c r="B483" s="10">
        <f>'CLIENT ENROLLMENT DISCHARGE '!B483</f>
        <v>0</v>
      </c>
      <c r="C483" s="4">
        <f>'CLIENT ENROLLMENT DISCHARGE '!C483</f>
        <v>0</v>
      </c>
      <c r="D483" s="51"/>
      <c r="E483" s="52"/>
      <c r="F483" s="51"/>
      <c r="G483" s="52"/>
      <c r="H483" s="62"/>
      <c r="I483" s="115"/>
      <c r="J483" s="9"/>
      <c r="K483" s="70"/>
      <c r="L483" s="52"/>
      <c r="M483" s="8"/>
      <c r="N483" s="7"/>
      <c r="O483" s="218">
        <f t="shared" si="7"/>
        <v>0</v>
      </c>
      <c r="P483" s="218">
        <f>O483+SEPT!P483</f>
        <v>0</v>
      </c>
      <c r="Q483" s="59"/>
      <c r="R483" s="51"/>
      <c r="S483" s="65"/>
      <c r="T483" s="64"/>
      <c r="U483" s="67"/>
      <c r="V483" s="74"/>
      <c r="W483" s="6">
        <f>'CLIENT ENROLLMENT DISCHARGE '!M483</f>
        <v>0</v>
      </c>
      <c r="X483" s="76">
        <f>'CLIENT ENROLLMENT DISCHARGE '!L483</f>
        <v>0</v>
      </c>
      <c r="Y483" s="180" t="s">
        <v>0</v>
      </c>
    </row>
    <row r="484" spans="1:25" ht="50.1" customHeight="1" x14ac:dyDescent="0.25">
      <c r="A484" s="5">
        <v>470</v>
      </c>
      <c r="B484" s="10">
        <f>'CLIENT ENROLLMENT DISCHARGE '!B484</f>
        <v>0</v>
      </c>
      <c r="C484" s="4">
        <f>'CLIENT ENROLLMENT DISCHARGE '!C484</f>
        <v>0</v>
      </c>
      <c r="D484" s="52"/>
      <c r="E484" s="53"/>
      <c r="F484" s="52"/>
      <c r="G484" s="53"/>
      <c r="H484" s="63"/>
      <c r="I484" s="116"/>
      <c r="J484" s="3"/>
      <c r="K484" s="71"/>
      <c r="L484" s="53"/>
      <c r="M484" s="2"/>
      <c r="N484" s="1"/>
      <c r="O484" s="218">
        <f t="shared" si="7"/>
        <v>0</v>
      </c>
      <c r="P484" s="218">
        <f>O484+SEPT!P484</f>
        <v>0</v>
      </c>
      <c r="Q484" s="60"/>
      <c r="R484" s="52"/>
      <c r="S484" s="66"/>
      <c r="T484" s="65"/>
      <c r="U484" s="68"/>
      <c r="V484" s="59"/>
      <c r="W484" s="6">
        <f>'CLIENT ENROLLMENT DISCHARGE '!M484</f>
        <v>0</v>
      </c>
      <c r="X484" s="76">
        <f>'CLIENT ENROLLMENT DISCHARGE '!L484</f>
        <v>0</v>
      </c>
      <c r="Y484" s="180" t="s">
        <v>0</v>
      </c>
    </row>
    <row r="485" spans="1:25" ht="50.1" customHeight="1" x14ac:dyDescent="0.25">
      <c r="A485" s="5">
        <v>471</v>
      </c>
      <c r="B485" s="10">
        <f>'CLIENT ENROLLMENT DISCHARGE '!B485</f>
        <v>0</v>
      </c>
      <c r="C485" s="4">
        <f>'CLIENT ENROLLMENT DISCHARGE '!C485</f>
        <v>0</v>
      </c>
      <c r="D485" s="51"/>
      <c r="E485" s="52"/>
      <c r="F485" s="51"/>
      <c r="G485" s="52"/>
      <c r="H485" s="62"/>
      <c r="I485" s="115"/>
      <c r="J485" s="9"/>
      <c r="K485" s="70"/>
      <c r="L485" s="52"/>
      <c r="M485" s="8"/>
      <c r="N485" s="7"/>
      <c r="O485" s="218">
        <f t="shared" si="7"/>
        <v>0</v>
      </c>
      <c r="P485" s="218">
        <f>O485+SEPT!P485</f>
        <v>0</v>
      </c>
      <c r="Q485" s="59"/>
      <c r="R485" s="51"/>
      <c r="S485" s="65"/>
      <c r="T485" s="64"/>
      <c r="U485" s="67"/>
      <c r="V485" s="74"/>
      <c r="W485" s="6">
        <f>'CLIENT ENROLLMENT DISCHARGE '!M485</f>
        <v>0</v>
      </c>
      <c r="X485" s="76">
        <f>'CLIENT ENROLLMENT DISCHARGE '!L485</f>
        <v>0</v>
      </c>
      <c r="Y485" s="180" t="s">
        <v>0</v>
      </c>
    </row>
    <row r="486" spans="1:25" ht="50.1" customHeight="1" x14ac:dyDescent="0.25">
      <c r="A486" s="5">
        <v>472</v>
      </c>
      <c r="B486" s="10">
        <f>'CLIENT ENROLLMENT DISCHARGE '!B486</f>
        <v>0</v>
      </c>
      <c r="C486" s="4">
        <f>'CLIENT ENROLLMENT DISCHARGE '!C486</f>
        <v>0</v>
      </c>
      <c r="D486" s="52"/>
      <c r="E486" s="53"/>
      <c r="F486" s="52"/>
      <c r="G486" s="53"/>
      <c r="H486" s="63"/>
      <c r="I486" s="116"/>
      <c r="J486" s="3"/>
      <c r="K486" s="71"/>
      <c r="L486" s="53"/>
      <c r="M486" s="2"/>
      <c r="N486" s="1"/>
      <c r="O486" s="218">
        <f t="shared" si="7"/>
        <v>0</v>
      </c>
      <c r="P486" s="218">
        <f>O486+SEPT!P486</f>
        <v>0</v>
      </c>
      <c r="Q486" s="60"/>
      <c r="R486" s="52"/>
      <c r="S486" s="66"/>
      <c r="T486" s="65"/>
      <c r="U486" s="68"/>
      <c r="V486" s="59"/>
      <c r="W486" s="6">
        <f>'CLIENT ENROLLMENT DISCHARGE '!M486</f>
        <v>0</v>
      </c>
      <c r="X486" s="76">
        <f>'CLIENT ENROLLMENT DISCHARGE '!L486</f>
        <v>0</v>
      </c>
      <c r="Y486" s="180" t="s">
        <v>0</v>
      </c>
    </row>
    <row r="487" spans="1:25" ht="50.1" customHeight="1" x14ac:dyDescent="0.25">
      <c r="A487" s="5">
        <v>473</v>
      </c>
      <c r="B487" s="10">
        <f>'CLIENT ENROLLMENT DISCHARGE '!B487</f>
        <v>0</v>
      </c>
      <c r="C487" s="4">
        <f>'CLIENT ENROLLMENT DISCHARGE '!C487</f>
        <v>0</v>
      </c>
      <c r="D487" s="51"/>
      <c r="E487" s="52"/>
      <c r="F487" s="51"/>
      <c r="G487" s="52"/>
      <c r="H487" s="62"/>
      <c r="I487" s="115"/>
      <c r="J487" s="9"/>
      <c r="K487" s="70"/>
      <c r="L487" s="52"/>
      <c r="M487" s="8"/>
      <c r="N487" s="7"/>
      <c r="O487" s="218">
        <f t="shared" si="7"/>
        <v>0</v>
      </c>
      <c r="P487" s="218">
        <f>O487+SEPT!P487</f>
        <v>0</v>
      </c>
      <c r="Q487" s="59"/>
      <c r="R487" s="51"/>
      <c r="S487" s="65"/>
      <c r="T487" s="64"/>
      <c r="U487" s="67"/>
      <c r="V487" s="74"/>
      <c r="W487" s="6">
        <f>'CLIENT ENROLLMENT DISCHARGE '!M487</f>
        <v>0</v>
      </c>
      <c r="X487" s="76">
        <f>'CLIENT ENROLLMENT DISCHARGE '!L487</f>
        <v>0</v>
      </c>
      <c r="Y487" s="180" t="s">
        <v>0</v>
      </c>
    </row>
    <row r="488" spans="1:25" ht="50.1" customHeight="1" x14ac:dyDescent="0.25">
      <c r="A488" s="5">
        <v>474</v>
      </c>
      <c r="B488" s="10">
        <f>'CLIENT ENROLLMENT DISCHARGE '!B488</f>
        <v>0</v>
      </c>
      <c r="C488" s="4">
        <f>'CLIENT ENROLLMENT DISCHARGE '!C488</f>
        <v>0</v>
      </c>
      <c r="D488" s="52"/>
      <c r="E488" s="53"/>
      <c r="F488" s="52"/>
      <c r="G488" s="53"/>
      <c r="H488" s="63"/>
      <c r="I488" s="116"/>
      <c r="J488" s="3"/>
      <c r="K488" s="71"/>
      <c r="L488" s="53"/>
      <c r="M488" s="2"/>
      <c r="N488" s="1"/>
      <c r="O488" s="218">
        <f t="shared" si="7"/>
        <v>0</v>
      </c>
      <c r="P488" s="218">
        <f>O488+SEPT!P488</f>
        <v>0</v>
      </c>
      <c r="Q488" s="60"/>
      <c r="R488" s="52"/>
      <c r="S488" s="66"/>
      <c r="T488" s="65"/>
      <c r="U488" s="68"/>
      <c r="V488" s="59"/>
      <c r="W488" s="6">
        <f>'CLIENT ENROLLMENT DISCHARGE '!M488</f>
        <v>0</v>
      </c>
      <c r="X488" s="76">
        <f>'CLIENT ENROLLMENT DISCHARGE '!L488</f>
        <v>0</v>
      </c>
      <c r="Y488" s="180" t="s">
        <v>0</v>
      </c>
    </row>
    <row r="489" spans="1:25" ht="50.1" customHeight="1" x14ac:dyDescent="0.25">
      <c r="A489" s="5">
        <v>475</v>
      </c>
      <c r="B489" s="10">
        <f>'CLIENT ENROLLMENT DISCHARGE '!B489</f>
        <v>0</v>
      </c>
      <c r="C489" s="4">
        <f>'CLIENT ENROLLMENT DISCHARGE '!C489</f>
        <v>0</v>
      </c>
      <c r="D489" s="51"/>
      <c r="E489" s="52"/>
      <c r="F489" s="51"/>
      <c r="G489" s="52"/>
      <c r="H489" s="62"/>
      <c r="I489" s="115"/>
      <c r="J489" s="9"/>
      <c r="K489" s="70"/>
      <c r="L489" s="52"/>
      <c r="M489" s="8"/>
      <c r="N489" s="7"/>
      <c r="O489" s="218">
        <f t="shared" si="7"/>
        <v>0</v>
      </c>
      <c r="P489" s="218">
        <f>O489+SEPT!P489</f>
        <v>0</v>
      </c>
      <c r="Q489" s="59"/>
      <c r="R489" s="51"/>
      <c r="S489" s="65"/>
      <c r="T489" s="64"/>
      <c r="U489" s="67"/>
      <c r="V489" s="74"/>
      <c r="W489" s="6">
        <f>'CLIENT ENROLLMENT DISCHARGE '!M489</f>
        <v>0</v>
      </c>
      <c r="X489" s="76">
        <f>'CLIENT ENROLLMENT DISCHARGE '!L489</f>
        <v>0</v>
      </c>
      <c r="Y489" s="180" t="s">
        <v>0</v>
      </c>
    </row>
    <row r="490" spans="1:25" ht="50.1" customHeight="1" x14ac:dyDescent="0.25">
      <c r="A490" s="5">
        <v>476</v>
      </c>
      <c r="B490" s="10">
        <f>'CLIENT ENROLLMENT DISCHARGE '!B490</f>
        <v>0</v>
      </c>
      <c r="C490" s="4">
        <f>'CLIENT ENROLLMENT DISCHARGE '!C490</f>
        <v>0</v>
      </c>
      <c r="D490" s="52"/>
      <c r="E490" s="53"/>
      <c r="F490" s="52"/>
      <c r="G490" s="53"/>
      <c r="H490" s="63"/>
      <c r="I490" s="116"/>
      <c r="J490" s="3"/>
      <c r="K490" s="71"/>
      <c r="L490" s="53"/>
      <c r="M490" s="2"/>
      <c r="N490" s="1"/>
      <c r="O490" s="218">
        <f t="shared" si="7"/>
        <v>0</v>
      </c>
      <c r="P490" s="218">
        <f>O490+SEPT!P490</f>
        <v>0</v>
      </c>
      <c r="Q490" s="60"/>
      <c r="R490" s="52"/>
      <c r="S490" s="66"/>
      <c r="T490" s="65"/>
      <c r="U490" s="68"/>
      <c r="V490" s="75"/>
      <c r="W490" s="6">
        <f>'CLIENT ENROLLMENT DISCHARGE '!M490</f>
        <v>0</v>
      </c>
      <c r="X490" s="76">
        <f>'CLIENT ENROLLMENT DISCHARGE '!L490</f>
        <v>0</v>
      </c>
      <c r="Y490" s="180" t="s">
        <v>0</v>
      </c>
    </row>
    <row r="491" spans="1:25" ht="50.1" customHeight="1" x14ac:dyDescent="0.25">
      <c r="A491" s="5">
        <v>477</v>
      </c>
      <c r="B491" s="10">
        <f>'CLIENT ENROLLMENT DISCHARGE '!B491</f>
        <v>0</v>
      </c>
      <c r="C491" s="4">
        <f>'CLIENT ENROLLMENT DISCHARGE '!C491</f>
        <v>0</v>
      </c>
      <c r="D491" s="51"/>
      <c r="E491" s="52"/>
      <c r="F491" s="51"/>
      <c r="G491" s="52"/>
      <c r="H491" s="62"/>
      <c r="I491" s="115"/>
      <c r="J491" s="9"/>
      <c r="K491" s="70"/>
      <c r="L491" s="52"/>
      <c r="M491" s="8"/>
      <c r="N491" s="7"/>
      <c r="O491" s="218">
        <f t="shared" si="7"/>
        <v>0</v>
      </c>
      <c r="P491" s="218">
        <f>O491+SEPT!P491</f>
        <v>0</v>
      </c>
      <c r="Q491" s="59"/>
      <c r="R491" s="51"/>
      <c r="S491" s="65"/>
      <c r="T491" s="64"/>
      <c r="U491" s="67"/>
      <c r="V491" s="74"/>
      <c r="W491" s="6">
        <f>'CLIENT ENROLLMENT DISCHARGE '!M491</f>
        <v>0</v>
      </c>
      <c r="X491" s="76">
        <f>'CLIENT ENROLLMENT DISCHARGE '!L491</f>
        <v>0</v>
      </c>
      <c r="Y491" s="180" t="s">
        <v>0</v>
      </c>
    </row>
    <row r="492" spans="1:25" ht="50.1" customHeight="1" x14ac:dyDescent="0.25">
      <c r="A492" s="5">
        <v>478</v>
      </c>
      <c r="B492" s="10">
        <f>'CLIENT ENROLLMENT DISCHARGE '!B492</f>
        <v>0</v>
      </c>
      <c r="C492" s="4">
        <f>'CLIENT ENROLLMENT DISCHARGE '!C492</f>
        <v>0</v>
      </c>
      <c r="D492" s="52"/>
      <c r="E492" s="53"/>
      <c r="F492" s="52"/>
      <c r="G492" s="53"/>
      <c r="H492" s="63"/>
      <c r="I492" s="116"/>
      <c r="J492" s="3"/>
      <c r="K492" s="71"/>
      <c r="L492" s="53"/>
      <c r="M492" s="2"/>
      <c r="N492" s="1"/>
      <c r="O492" s="218">
        <f t="shared" si="7"/>
        <v>0</v>
      </c>
      <c r="P492" s="218">
        <f>O492+SEPT!P492</f>
        <v>0</v>
      </c>
      <c r="Q492" s="60"/>
      <c r="R492" s="52"/>
      <c r="S492" s="66"/>
      <c r="T492" s="65"/>
      <c r="U492" s="68"/>
      <c r="V492" s="59"/>
      <c r="W492" s="6">
        <f>'CLIENT ENROLLMENT DISCHARGE '!M492</f>
        <v>0</v>
      </c>
      <c r="X492" s="76">
        <f>'CLIENT ENROLLMENT DISCHARGE '!L492</f>
        <v>0</v>
      </c>
      <c r="Y492" s="180" t="s">
        <v>0</v>
      </c>
    </row>
    <row r="493" spans="1:25" ht="50.1" customHeight="1" x14ac:dyDescent="0.25">
      <c r="A493" s="5">
        <v>479</v>
      </c>
      <c r="B493" s="10">
        <f>'CLIENT ENROLLMENT DISCHARGE '!B493</f>
        <v>0</v>
      </c>
      <c r="C493" s="4">
        <f>'CLIENT ENROLLMENT DISCHARGE '!C493</f>
        <v>0</v>
      </c>
      <c r="D493" s="51"/>
      <c r="E493" s="52"/>
      <c r="F493" s="51"/>
      <c r="G493" s="52"/>
      <c r="H493" s="62"/>
      <c r="I493" s="115"/>
      <c r="J493" s="9"/>
      <c r="K493" s="70"/>
      <c r="L493" s="52"/>
      <c r="M493" s="8"/>
      <c r="N493" s="7"/>
      <c r="O493" s="218">
        <f t="shared" si="7"/>
        <v>0</v>
      </c>
      <c r="P493" s="218">
        <f>O493+SEPT!P493</f>
        <v>0</v>
      </c>
      <c r="Q493" s="59"/>
      <c r="R493" s="51"/>
      <c r="S493" s="65"/>
      <c r="T493" s="64"/>
      <c r="U493" s="67"/>
      <c r="V493" s="74"/>
      <c r="W493" s="6">
        <f>'CLIENT ENROLLMENT DISCHARGE '!M493</f>
        <v>0</v>
      </c>
      <c r="X493" s="76">
        <f>'CLIENT ENROLLMENT DISCHARGE '!L493</f>
        <v>0</v>
      </c>
      <c r="Y493" s="180" t="s">
        <v>0</v>
      </c>
    </row>
    <row r="494" spans="1:25" ht="50.1" customHeight="1" x14ac:dyDescent="0.25">
      <c r="A494" s="5">
        <v>480</v>
      </c>
      <c r="B494" s="10">
        <f>'CLIENT ENROLLMENT DISCHARGE '!B494</f>
        <v>0</v>
      </c>
      <c r="C494" s="4">
        <f>'CLIENT ENROLLMENT DISCHARGE '!C494</f>
        <v>0</v>
      </c>
      <c r="D494" s="52"/>
      <c r="E494" s="53"/>
      <c r="F494" s="52"/>
      <c r="G494" s="53"/>
      <c r="H494" s="63"/>
      <c r="I494" s="116"/>
      <c r="J494" s="3"/>
      <c r="K494" s="71"/>
      <c r="L494" s="53"/>
      <c r="M494" s="2"/>
      <c r="N494" s="1"/>
      <c r="O494" s="218">
        <f t="shared" si="7"/>
        <v>0</v>
      </c>
      <c r="P494" s="218">
        <f>O494+SEPT!P494</f>
        <v>0</v>
      </c>
      <c r="Q494" s="60"/>
      <c r="R494" s="52"/>
      <c r="S494" s="66"/>
      <c r="T494" s="65"/>
      <c r="U494" s="68"/>
      <c r="V494" s="59"/>
      <c r="W494" s="6">
        <f>'CLIENT ENROLLMENT DISCHARGE '!M494</f>
        <v>0</v>
      </c>
      <c r="X494" s="76">
        <f>'CLIENT ENROLLMENT DISCHARGE '!L494</f>
        <v>0</v>
      </c>
      <c r="Y494" s="180" t="s">
        <v>0</v>
      </c>
    </row>
    <row r="495" spans="1:25" ht="50.1" customHeight="1" x14ac:dyDescent="0.25">
      <c r="A495" s="5">
        <v>481</v>
      </c>
      <c r="B495" s="10">
        <f>'CLIENT ENROLLMENT DISCHARGE '!B495</f>
        <v>0</v>
      </c>
      <c r="C495" s="4">
        <f>'CLIENT ENROLLMENT DISCHARGE '!C495</f>
        <v>0</v>
      </c>
      <c r="D495" s="51"/>
      <c r="E495" s="52"/>
      <c r="F495" s="51"/>
      <c r="G495" s="52"/>
      <c r="H495" s="62"/>
      <c r="I495" s="115"/>
      <c r="J495" s="9"/>
      <c r="K495" s="70"/>
      <c r="L495" s="52"/>
      <c r="M495" s="8"/>
      <c r="N495" s="7"/>
      <c r="O495" s="218">
        <f t="shared" si="7"/>
        <v>0</v>
      </c>
      <c r="P495" s="218">
        <f>O495+SEPT!P495</f>
        <v>0</v>
      </c>
      <c r="Q495" s="59"/>
      <c r="R495" s="51"/>
      <c r="S495" s="65"/>
      <c r="T495" s="64"/>
      <c r="U495" s="67"/>
      <c r="V495" s="74"/>
      <c r="W495" s="6">
        <f>'CLIENT ENROLLMENT DISCHARGE '!M495</f>
        <v>0</v>
      </c>
      <c r="X495" s="76">
        <f>'CLIENT ENROLLMENT DISCHARGE '!L495</f>
        <v>0</v>
      </c>
      <c r="Y495" s="180" t="s">
        <v>0</v>
      </c>
    </row>
    <row r="496" spans="1:25" ht="50.1" customHeight="1" x14ac:dyDescent="0.25">
      <c r="A496" s="5">
        <v>482</v>
      </c>
      <c r="B496" s="10">
        <f>'CLIENT ENROLLMENT DISCHARGE '!B496</f>
        <v>0</v>
      </c>
      <c r="C496" s="4">
        <f>'CLIENT ENROLLMENT DISCHARGE '!C496</f>
        <v>0</v>
      </c>
      <c r="D496" s="52"/>
      <c r="E496" s="53"/>
      <c r="F496" s="52"/>
      <c r="G496" s="53"/>
      <c r="H496" s="63"/>
      <c r="I496" s="116"/>
      <c r="J496" s="3"/>
      <c r="K496" s="71"/>
      <c r="L496" s="53"/>
      <c r="M496" s="2"/>
      <c r="N496" s="1"/>
      <c r="O496" s="218">
        <f t="shared" si="7"/>
        <v>0</v>
      </c>
      <c r="P496" s="218">
        <f>O496+SEPT!P496</f>
        <v>0</v>
      </c>
      <c r="Q496" s="60"/>
      <c r="R496" s="52"/>
      <c r="S496" s="66"/>
      <c r="T496" s="65"/>
      <c r="U496" s="68"/>
      <c r="V496" s="59"/>
      <c r="W496" s="6">
        <f>'CLIENT ENROLLMENT DISCHARGE '!M496</f>
        <v>0</v>
      </c>
      <c r="X496" s="76">
        <f>'CLIENT ENROLLMENT DISCHARGE '!L496</f>
        <v>0</v>
      </c>
      <c r="Y496" s="180" t="s">
        <v>0</v>
      </c>
    </row>
    <row r="497" spans="1:25" ht="50.1" customHeight="1" x14ac:dyDescent="0.25">
      <c r="A497" s="5">
        <v>483</v>
      </c>
      <c r="B497" s="10">
        <f>'CLIENT ENROLLMENT DISCHARGE '!B497</f>
        <v>0</v>
      </c>
      <c r="C497" s="4">
        <f>'CLIENT ENROLLMENT DISCHARGE '!C497</f>
        <v>0</v>
      </c>
      <c r="D497" s="51"/>
      <c r="E497" s="52"/>
      <c r="F497" s="51"/>
      <c r="G497" s="52"/>
      <c r="H497" s="62"/>
      <c r="I497" s="115"/>
      <c r="J497" s="9"/>
      <c r="K497" s="70"/>
      <c r="L497" s="52"/>
      <c r="M497" s="8"/>
      <c r="N497" s="7"/>
      <c r="O497" s="218">
        <f t="shared" si="7"/>
        <v>0</v>
      </c>
      <c r="P497" s="218">
        <f>O497+SEPT!P497</f>
        <v>0</v>
      </c>
      <c r="Q497" s="59"/>
      <c r="R497" s="51"/>
      <c r="S497" s="65"/>
      <c r="T497" s="64"/>
      <c r="U497" s="67"/>
      <c r="V497" s="74"/>
      <c r="W497" s="6">
        <f>'CLIENT ENROLLMENT DISCHARGE '!M497</f>
        <v>0</v>
      </c>
      <c r="X497" s="76">
        <f>'CLIENT ENROLLMENT DISCHARGE '!L497</f>
        <v>0</v>
      </c>
      <c r="Y497" s="180" t="s">
        <v>0</v>
      </c>
    </row>
    <row r="498" spans="1:25" ht="50.1" customHeight="1" x14ac:dyDescent="0.25">
      <c r="A498" s="5">
        <v>484</v>
      </c>
      <c r="B498" s="10">
        <f>'CLIENT ENROLLMENT DISCHARGE '!B498</f>
        <v>0</v>
      </c>
      <c r="C498" s="4">
        <f>'CLIENT ENROLLMENT DISCHARGE '!C498</f>
        <v>0</v>
      </c>
      <c r="D498" s="52"/>
      <c r="E498" s="53"/>
      <c r="F498" s="52"/>
      <c r="G498" s="53"/>
      <c r="H498" s="63"/>
      <c r="I498" s="116"/>
      <c r="J498" s="3"/>
      <c r="K498" s="71"/>
      <c r="L498" s="53"/>
      <c r="M498" s="2"/>
      <c r="N498" s="1"/>
      <c r="O498" s="218">
        <f t="shared" si="7"/>
        <v>0</v>
      </c>
      <c r="P498" s="218">
        <f>O498+SEPT!P498</f>
        <v>0</v>
      </c>
      <c r="Q498" s="60"/>
      <c r="R498" s="52"/>
      <c r="S498" s="66"/>
      <c r="T498" s="65"/>
      <c r="U498" s="68"/>
      <c r="V498" s="59"/>
      <c r="W498" s="6">
        <f>'CLIENT ENROLLMENT DISCHARGE '!M498</f>
        <v>0</v>
      </c>
      <c r="X498" s="76">
        <f>'CLIENT ENROLLMENT DISCHARGE '!L498</f>
        <v>0</v>
      </c>
      <c r="Y498" s="180" t="s">
        <v>0</v>
      </c>
    </row>
    <row r="499" spans="1:25" ht="50.1" customHeight="1" x14ac:dyDescent="0.25">
      <c r="A499" s="5">
        <v>485</v>
      </c>
      <c r="B499" s="10">
        <f>'CLIENT ENROLLMENT DISCHARGE '!B499</f>
        <v>0</v>
      </c>
      <c r="C499" s="4">
        <f>'CLIENT ENROLLMENT DISCHARGE '!C499</f>
        <v>0</v>
      </c>
      <c r="D499" s="51"/>
      <c r="E499" s="52"/>
      <c r="F499" s="51"/>
      <c r="G499" s="52"/>
      <c r="H499" s="62"/>
      <c r="I499" s="115"/>
      <c r="J499" s="9"/>
      <c r="K499" s="70"/>
      <c r="L499" s="52"/>
      <c r="M499" s="8"/>
      <c r="N499" s="7"/>
      <c r="O499" s="218">
        <f t="shared" si="7"/>
        <v>0</v>
      </c>
      <c r="P499" s="218">
        <f>O499+SEPT!P499</f>
        <v>0</v>
      </c>
      <c r="Q499" s="59"/>
      <c r="R499" s="51"/>
      <c r="S499" s="65"/>
      <c r="T499" s="64"/>
      <c r="U499" s="67"/>
      <c r="V499" s="74"/>
      <c r="W499" s="6">
        <f>'CLIENT ENROLLMENT DISCHARGE '!M499</f>
        <v>0</v>
      </c>
      <c r="X499" s="76">
        <f>'CLIENT ENROLLMENT DISCHARGE '!L499</f>
        <v>0</v>
      </c>
      <c r="Y499" s="180" t="s">
        <v>0</v>
      </c>
    </row>
    <row r="500" spans="1:25" ht="50.1" customHeight="1" x14ac:dyDescent="0.25">
      <c r="A500" s="5">
        <v>486</v>
      </c>
      <c r="B500" s="10">
        <f>'CLIENT ENROLLMENT DISCHARGE '!B500</f>
        <v>0</v>
      </c>
      <c r="C500" s="4">
        <f>'CLIENT ENROLLMENT DISCHARGE '!C500</f>
        <v>0</v>
      </c>
      <c r="D500" s="52"/>
      <c r="E500" s="53"/>
      <c r="F500" s="52"/>
      <c r="G500" s="53"/>
      <c r="H500" s="63"/>
      <c r="I500" s="116"/>
      <c r="J500" s="3"/>
      <c r="K500" s="71"/>
      <c r="L500" s="53"/>
      <c r="M500" s="2"/>
      <c r="N500" s="1"/>
      <c r="O500" s="218">
        <f t="shared" si="7"/>
        <v>0</v>
      </c>
      <c r="P500" s="218">
        <f>O500+SEPT!P500</f>
        <v>0</v>
      </c>
      <c r="Q500" s="60"/>
      <c r="R500" s="52"/>
      <c r="S500" s="66"/>
      <c r="T500" s="65"/>
      <c r="U500" s="68"/>
      <c r="V500" s="75"/>
      <c r="W500" s="6">
        <f>'CLIENT ENROLLMENT DISCHARGE '!M500</f>
        <v>0</v>
      </c>
      <c r="X500" s="76">
        <f>'CLIENT ENROLLMENT DISCHARGE '!L500</f>
        <v>0</v>
      </c>
      <c r="Y500" s="180" t="s">
        <v>0</v>
      </c>
    </row>
    <row r="501" spans="1:25" ht="50.1" customHeight="1" x14ac:dyDescent="0.25">
      <c r="A501" s="5">
        <v>487</v>
      </c>
      <c r="B501" s="10">
        <f>'CLIENT ENROLLMENT DISCHARGE '!B501</f>
        <v>0</v>
      </c>
      <c r="C501" s="4">
        <f>'CLIENT ENROLLMENT DISCHARGE '!C501</f>
        <v>0</v>
      </c>
      <c r="D501" s="51"/>
      <c r="E501" s="52"/>
      <c r="F501" s="51"/>
      <c r="G501" s="52"/>
      <c r="H501" s="62"/>
      <c r="I501" s="115"/>
      <c r="J501" s="9"/>
      <c r="K501" s="70"/>
      <c r="L501" s="52"/>
      <c r="M501" s="8"/>
      <c r="N501" s="7"/>
      <c r="O501" s="218">
        <f t="shared" si="7"/>
        <v>0</v>
      </c>
      <c r="P501" s="218">
        <f>O501+SEPT!P501</f>
        <v>0</v>
      </c>
      <c r="Q501" s="59"/>
      <c r="R501" s="51"/>
      <c r="S501" s="65"/>
      <c r="T501" s="64"/>
      <c r="U501" s="67"/>
      <c r="V501" s="74"/>
      <c r="W501" s="6">
        <f>'CLIENT ENROLLMENT DISCHARGE '!M501</f>
        <v>0</v>
      </c>
      <c r="X501" s="76">
        <f>'CLIENT ENROLLMENT DISCHARGE '!L501</f>
        <v>0</v>
      </c>
      <c r="Y501" s="180" t="s">
        <v>0</v>
      </c>
    </row>
    <row r="502" spans="1:25" ht="50.1" customHeight="1" x14ac:dyDescent="0.25">
      <c r="A502" s="5">
        <v>488</v>
      </c>
      <c r="B502" s="10">
        <f>'CLIENT ENROLLMENT DISCHARGE '!B502</f>
        <v>0</v>
      </c>
      <c r="C502" s="4">
        <f>'CLIENT ENROLLMENT DISCHARGE '!C502</f>
        <v>0</v>
      </c>
      <c r="D502" s="52"/>
      <c r="E502" s="53"/>
      <c r="F502" s="52"/>
      <c r="G502" s="53"/>
      <c r="H502" s="63"/>
      <c r="I502" s="116"/>
      <c r="J502" s="3"/>
      <c r="K502" s="71"/>
      <c r="L502" s="53"/>
      <c r="M502" s="2"/>
      <c r="N502" s="1"/>
      <c r="O502" s="218">
        <f t="shared" si="7"/>
        <v>0</v>
      </c>
      <c r="P502" s="218">
        <f>O502+SEPT!P502</f>
        <v>0</v>
      </c>
      <c r="Q502" s="60"/>
      <c r="R502" s="52"/>
      <c r="S502" s="66"/>
      <c r="T502" s="65"/>
      <c r="U502" s="68"/>
      <c r="V502" s="59"/>
      <c r="W502" s="6">
        <f>'CLIENT ENROLLMENT DISCHARGE '!M502</f>
        <v>0</v>
      </c>
      <c r="X502" s="76">
        <f>'CLIENT ENROLLMENT DISCHARGE '!L502</f>
        <v>0</v>
      </c>
      <c r="Y502" s="180" t="s">
        <v>0</v>
      </c>
    </row>
    <row r="503" spans="1:25" ht="50.1" customHeight="1" x14ac:dyDescent="0.25">
      <c r="A503" s="5">
        <v>489</v>
      </c>
      <c r="B503" s="10">
        <f>'CLIENT ENROLLMENT DISCHARGE '!B503</f>
        <v>0</v>
      </c>
      <c r="C503" s="4">
        <f>'CLIENT ENROLLMENT DISCHARGE '!C503</f>
        <v>0</v>
      </c>
      <c r="D503" s="51"/>
      <c r="E503" s="52"/>
      <c r="F503" s="51"/>
      <c r="G503" s="52"/>
      <c r="H503" s="62"/>
      <c r="I503" s="115"/>
      <c r="J503" s="9"/>
      <c r="K503" s="70"/>
      <c r="L503" s="52"/>
      <c r="M503" s="8"/>
      <c r="N503" s="7"/>
      <c r="O503" s="218">
        <f t="shared" si="7"/>
        <v>0</v>
      </c>
      <c r="P503" s="218">
        <f>O503+SEPT!P503</f>
        <v>0</v>
      </c>
      <c r="Q503" s="59"/>
      <c r="R503" s="51"/>
      <c r="S503" s="65"/>
      <c r="T503" s="64"/>
      <c r="U503" s="67"/>
      <c r="V503" s="74"/>
      <c r="W503" s="6">
        <f>'CLIENT ENROLLMENT DISCHARGE '!M503</f>
        <v>0</v>
      </c>
      <c r="X503" s="76">
        <f>'CLIENT ENROLLMENT DISCHARGE '!L503</f>
        <v>0</v>
      </c>
      <c r="Y503" s="180" t="s">
        <v>0</v>
      </c>
    </row>
    <row r="504" spans="1:25" ht="50.1" customHeight="1" x14ac:dyDescent="0.25">
      <c r="A504" s="5">
        <v>490</v>
      </c>
      <c r="B504" s="10">
        <f>'CLIENT ENROLLMENT DISCHARGE '!B504</f>
        <v>0</v>
      </c>
      <c r="C504" s="4">
        <f>'CLIENT ENROLLMENT DISCHARGE '!C504</f>
        <v>0</v>
      </c>
      <c r="D504" s="52"/>
      <c r="E504" s="53"/>
      <c r="F504" s="52"/>
      <c r="G504" s="53"/>
      <c r="H504" s="63"/>
      <c r="I504" s="116"/>
      <c r="J504" s="3"/>
      <c r="K504" s="71"/>
      <c r="L504" s="53"/>
      <c r="M504" s="2"/>
      <c r="N504" s="1"/>
      <c r="O504" s="218">
        <f t="shared" si="7"/>
        <v>0</v>
      </c>
      <c r="P504" s="218">
        <f>O504+SEPT!P504</f>
        <v>0</v>
      </c>
      <c r="Q504" s="60"/>
      <c r="R504" s="52"/>
      <c r="S504" s="66"/>
      <c r="T504" s="65"/>
      <c r="U504" s="68"/>
      <c r="V504" s="59"/>
      <c r="W504" s="6">
        <f>'CLIENT ENROLLMENT DISCHARGE '!M504</f>
        <v>0</v>
      </c>
      <c r="X504" s="76">
        <f>'CLIENT ENROLLMENT DISCHARGE '!L504</f>
        <v>0</v>
      </c>
      <c r="Y504" s="180" t="s">
        <v>0</v>
      </c>
    </row>
    <row r="505" spans="1:25" ht="50.1" customHeight="1" x14ac:dyDescent="0.25">
      <c r="A505" s="5">
        <v>491</v>
      </c>
      <c r="B505" s="10">
        <f>'CLIENT ENROLLMENT DISCHARGE '!B505</f>
        <v>0</v>
      </c>
      <c r="C505" s="4">
        <f>'CLIENT ENROLLMENT DISCHARGE '!C505</f>
        <v>0</v>
      </c>
      <c r="D505" s="51"/>
      <c r="E505" s="52"/>
      <c r="F505" s="51"/>
      <c r="G505" s="52"/>
      <c r="H505" s="62"/>
      <c r="I505" s="115"/>
      <c r="J505" s="9"/>
      <c r="K505" s="70"/>
      <c r="L505" s="52"/>
      <c r="M505" s="8"/>
      <c r="N505" s="7"/>
      <c r="O505" s="218">
        <f t="shared" si="7"/>
        <v>0</v>
      </c>
      <c r="P505" s="218">
        <f>O505+SEPT!P505</f>
        <v>0</v>
      </c>
      <c r="Q505" s="59"/>
      <c r="R505" s="51"/>
      <c r="S505" s="65"/>
      <c r="T505" s="64"/>
      <c r="U505" s="67"/>
      <c r="V505" s="74"/>
      <c r="W505" s="6">
        <f>'CLIENT ENROLLMENT DISCHARGE '!M505</f>
        <v>0</v>
      </c>
      <c r="X505" s="76">
        <f>'CLIENT ENROLLMENT DISCHARGE '!L505</f>
        <v>0</v>
      </c>
      <c r="Y505" s="180" t="s">
        <v>0</v>
      </c>
    </row>
    <row r="506" spans="1:25" ht="50.1" customHeight="1" x14ac:dyDescent="0.25">
      <c r="A506" s="5">
        <v>492</v>
      </c>
      <c r="B506" s="10">
        <f>'CLIENT ENROLLMENT DISCHARGE '!B506</f>
        <v>0</v>
      </c>
      <c r="C506" s="4">
        <f>'CLIENT ENROLLMENT DISCHARGE '!C506</f>
        <v>0</v>
      </c>
      <c r="D506" s="52"/>
      <c r="E506" s="53"/>
      <c r="F506" s="52"/>
      <c r="G506" s="53"/>
      <c r="H506" s="63"/>
      <c r="I506" s="116"/>
      <c r="J506" s="3"/>
      <c r="K506" s="71"/>
      <c r="L506" s="53"/>
      <c r="M506" s="2"/>
      <c r="N506" s="1"/>
      <c r="O506" s="218">
        <f t="shared" si="7"/>
        <v>0</v>
      </c>
      <c r="P506" s="218">
        <f>O506+SEPT!P506</f>
        <v>0</v>
      </c>
      <c r="Q506" s="60"/>
      <c r="R506" s="52"/>
      <c r="S506" s="66"/>
      <c r="T506" s="65"/>
      <c r="U506" s="68"/>
      <c r="V506" s="59"/>
      <c r="W506" s="6">
        <f>'CLIENT ENROLLMENT DISCHARGE '!M506</f>
        <v>0</v>
      </c>
      <c r="X506" s="76">
        <f>'CLIENT ENROLLMENT DISCHARGE '!L506</f>
        <v>0</v>
      </c>
      <c r="Y506" s="180" t="s">
        <v>0</v>
      </c>
    </row>
    <row r="507" spans="1:25" ht="50.1" customHeight="1" x14ac:dyDescent="0.25">
      <c r="A507" s="5">
        <v>493</v>
      </c>
      <c r="B507" s="10">
        <f>'CLIENT ENROLLMENT DISCHARGE '!B507</f>
        <v>0</v>
      </c>
      <c r="C507" s="4">
        <f>'CLIENT ENROLLMENT DISCHARGE '!C507</f>
        <v>0</v>
      </c>
      <c r="D507" s="51"/>
      <c r="E507" s="52"/>
      <c r="F507" s="51"/>
      <c r="G507" s="52"/>
      <c r="H507" s="62"/>
      <c r="I507" s="115"/>
      <c r="J507" s="9"/>
      <c r="K507" s="70"/>
      <c r="L507" s="52"/>
      <c r="M507" s="8"/>
      <c r="N507" s="7"/>
      <c r="O507" s="218">
        <f t="shared" si="7"/>
        <v>0</v>
      </c>
      <c r="P507" s="218">
        <f>O507+SEPT!P507</f>
        <v>0</v>
      </c>
      <c r="Q507" s="59"/>
      <c r="R507" s="51"/>
      <c r="S507" s="65"/>
      <c r="T507" s="64"/>
      <c r="U507" s="67"/>
      <c r="V507" s="74"/>
      <c r="W507" s="6">
        <f>'CLIENT ENROLLMENT DISCHARGE '!M507</f>
        <v>0</v>
      </c>
      <c r="X507" s="76">
        <f>'CLIENT ENROLLMENT DISCHARGE '!L507</f>
        <v>0</v>
      </c>
      <c r="Y507" s="180" t="s">
        <v>0</v>
      </c>
    </row>
    <row r="508" spans="1:25" ht="50.1" customHeight="1" x14ac:dyDescent="0.25">
      <c r="A508" s="5">
        <v>494</v>
      </c>
      <c r="B508" s="10">
        <f>'CLIENT ENROLLMENT DISCHARGE '!B508</f>
        <v>0</v>
      </c>
      <c r="C508" s="4">
        <f>'CLIENT ENROLLMENT DISCHARGE '!C508</f>
        <v>0</v>
      </c>
      <c r="D508" s="52"/>
      <c r="E508" s="53"/>
      <c r="F508" s="52"/>
      <c r="G508" s="53"/>
      <c r="H508" s="63"/>
      <c r="I508" s="116"/>
      <c r="J508" s="3"/>
      <c r="K508" s="71"/>
      <c r="L508" s="53"/>
      <c r="M508" s="2"/>
      <c r="N508" s="1"/>
      <c r="O508" s="218">
        <f t="shared" si="7"/>
        <v>0</v>
      </c>
      <c r="P508" s="218">
        <f>O508+SEPT!P508</f>
        <v>0</v>
      </c>
      <c r="Q508" s="60"/>
      <c r="R508" s="52"/>
      <c r="S508" s="66"/>
      <c r="T508" s="65"/>
      <c r="U508" s="68"/>
      <c r="V508" s="59"/>
      <c r="W508" s="6">
        <f>'CLIENT ENROLLMENT DISCHARGE '!M508</f>
        <v>0</v>
      </c>
      <c r="X508" s="76">
        <f>'CLIENT ENROLLMENT DISCHARGE '!L508</f>
        <v>0</v>
      </c>
      <c r="Y508" s="180" t="s">
        <v>0</v>
      </c>
    </row>
    <row r="509" spans="1:25" ht="50.1" customHeight="1" x14ac:dyDescent="0.25">
      <c r="A509" s="5">
        <v>495</v>
      </c>
      <c r="B509" s="10">
        <f>'CLIENT ENROLLMENT DISCHARGE '!B509</f>
        <v>0</v>
      </c>
      <c r="C509" s="4">
        <f>'CLIENT ENROLLMENT DISCHARGE '!C509</f>
        <v>0</v>
      </c>
      <c r="D509" s="51"/>
      <c r="E509" s="52"/>
      <c r="F509" s="51"/>
      <c r="G509" s="52"/>
      <c r="H509" s="62"/>
      <c r="I509" s="115"/>
      <c r="J509" s="9"/>
      <c r="K509" s="70"/>
      <c r="L509" s="52"/>
      <c r="M509" s="8"/>
      <c r="N509" s="7"/>
      <c r="O509" s="218">
        <f t="shared" si="7"/>
        <v>0</v>
      </c>
      <c r="P509" s="218">
        <f>O509+SEPT!P509</f>
        <v>0</v>
      </c>
      <c r="Q509" s="59"/>
      <c r="R509" s="51"/>
      <c r="S509" s="65"/>
      <c r="T509" s="64"/>
      <c r="U509" s="67"/>
      <c r="V509" s="74"/>
      <c r="W509" s="6">
        <f>'CLIENT ENROLLMENT DISCHARGE '!M509</f>
        <v>0</v>
      </c>
      <c r="X509" s="76">
        <f>'CLIENT ENROLLMENT DISCHARGE '!L509</f>
        <v>0</v>
      </c>
      <c r="Y509" s="180" t="s">
        <v>0</v>
      </c>
    </row>
    <row r="510" spans="1:25" ht="50.1" customHeight="1" x14ac:dyDescent="0.25">
      <c r="A510" s="5">
        <v>496</v>
      </c>
      <c r="B510" s="10">
        <f>'CLIENT ENROLLMENT DISCHARGE '!B510</f>
        <v>0</v>
      </c>
      <c r="C510" s="4">
        <f>'CLIENT ENROLLMENT DISCHARGE '!C510</f>
        <v>0</v>
      </c>
      <c r="D510" s="52"/>
      <c r="E510" s="53"/>
      <c r="F510" s="52"/>
      <c r="G510" s="53"/>
      <c r="H510" s="63"/>
      <c r="I510" s="116"/>
      <c r="J510" s="3"/>
      <c r="K510" s="71"/>
      <c r="L510" s="53"/>
      <c r="M510" s="2"/>
      <c r="N510" s="1"/>
      <c r="O510" s="218">
        <f t="shared" si="7"/>
        <v>0</v>
      </c>
      <c r="P510" s="218">
        <f>O510+SEPT!P510</f>
        <v>0</v>
      </c>
      <c r="Q510" s="60"/>
      <c r="R510" s="52"/>
      <c r="S510" s="66"/>
      <c r="T510" s="65"/>
      <c r="U510" s="68"/>
      <c r="V510" s="75"/>
      <c r="W510" s="6">
        <f>'CLIENT ENROLLMENT DISCHARGE '!M510</f>
        <v>0</v>
      </c>
      <c r="X510" s="76">
        <f>'CLIENT ENROLLMENT DISCHARGE '!L510</f>
        <v>0</v>
      </c>
      <c r="Y510" s="180" t="s">
        <v>0</v>
      </c>
    </row>
    <row r="511" spans="1:25" ht="50.1" customHeight="1" x14ac:dyDescent="0.25">
      <c r="A511" s="5">
        <v>497</v>
      </c>
      <c r="B511" s="10">
        <f>'CLIENT ENROLLMENT DISCHARGE '!B511</f>
        <v>0</v>
      </c>
      <c r="C511" s="4">
        <f>'CLIENT ENROLLMENT DISCHARGE '!C511</f>
        <v>0</v>
      </c>
      <c r="D511" s="51"/>
      <c r="E511" s="52"/>
      <c r="F511" s="51"/>
      <c r="G511" s="52"/>
      <c r="H511" s="62"/>
      <c r="I511" s="115"/>
      <c r="J511" s="9"/>
      <c r="K511" s="70"/>
      <c r="L511" s="52"/>
      <c r="M511" s="8"/>
      <c r="N511" s="7"/>
      <c r="O511" s="218">
        <f t="shared" si="7"/>
        <v>0</v>
      </c>
      <c r="P511" s="218">
        <f>O511+SEPT!P511</f>
        <v>0</v>
      </c>
      <c r="Q511" s="59"/>
      <c r="R511" s="51"/>
      <c r="S511" s="65"/>
      <c r="T511" s="64"/>
      <c r="U511" s="67"/>
      <c r="V511" s="74"/>
      <c r="W511" s="6">
        <f>'CLIENT ENROLLMENT DISCHARGE '!M511</f>
        <v>0</v>
      </c>
      <c r="X511" s="76">
        <f>'CLIENT ENROLLMENT DISCHARGE '!L511</f>
        <v>0</v>
      </c>
      <c r="Y511" s="180" t="s">
        <v>0</v>
      </c>
    </row>
    <row r="512" spans="1:25" ht="50.1" customHeight="1" x14ac:dyDescent="0.25">
      <c r="A512" s="5">
        <v>498</v>
      </c>
      <c r="B512" s="10">
        <f>'CLIENT ENROLLMENT DISCHARGE '!B512</f>
        <v>0</v>
      </c>
      <c r="C512" s="4">
        <f>'CLIENT ENROLLMENT DISCHARGE '!C512</f>
        <v>0</v>
      </c>
      <c r="D512" s="52"/>
      <c r="E512" s="53"/>
      <c r="F512" s="52"/>
      <c r="G512" s="53"/>
      <c r="H512" s="63"/>
      <c r="I512" s="116"/>
      <c r="J512" s="3"/>
      <c r="K512" s="71"/>
      <c r="L512" s="53"/>
      <c r="M512" s="2"/>
      <c r="N512" s="1"/>
      <c r="O512" s="218">
        <f t="shared" si="7"/>
        <v>0</v>
      </c>
      <c r="P512" s="218">
        <f>O512+SEPT!P512</f>
        <v>0</v>
      </c>
      <c r="Q512" s="60"/>
      <c r="R512" s="52"/>
      <c r="S512" s="66"/>
      <c r="T512" s="65"/>
      <c r="U512" s="68"/>
      <c r="V512" s="59"/>
      <c r="W512" s="6">
        <f>'CLIENT ENROLLMENT DISCHARGE '!M512</f>
        <v>0</v>
      </c>
      <c r="X512" s="76">
        <f>'CLIENT ENROLLMENT DISCHARGE '!L512</f>
        <v>0</v>
      </c>
      <c r="Y512" s="180" t="s">
        <v>0</v>
      </c>
    </row>
    <row r="513" spans="1:25" ht="50.1" customHeight="1" x14ac:dyDescent="0.25">
      <c r="A513" s="5">
        <v>499</v>
      </c>
      <c r="B513" s="10">
        <f>'CLIENT ENROLLMENT DISCHARGE '!B513</f>
        <v>0</v>
      </c>
      <c r="C513" s="4">
        <f>'CLIENT ENROLLMENT DISCHARGE '!C513</f>
        <v>0</v>
      </c>
      <c r="D513" s="51"/>
      <c r="E513" s="52"/>
      <c r="F513" s="51"/>
      <c r="G513" s="52"/>
      <c r="H513" s="62"/>
      <c r="I513" s="115"/>
      <c r="J513" s="9"/>
      <c r="K513" s="70"/>
      <c r="L513" s="52"/>
      <c r="M513" s="8"/>
      <c r="N513" s="7"/>
      <c r="O513" s="218">
        <f t="shared" si="7"/>
        <v>0</v>
      </c>
      <c r="P513" s="218">
        <f>O513+SEPT!P513</f>
        <v>0</v>
      </c>
      <c r="Q513" s="59"/>
      <c r="R513" s="51"/>
      <c r="S513" s="65"/>
      <c r="T513" s="64"/>
      <c r="U513" s="67"/>
      <c r="V513" s="74"/>
      <c r="W513" s="6">
        <f>'CLIENT ENROLLMENT DISCHARGE '!M513</f>
        <v>0</v>
      </c>
      <c r="X513" s="76">
        <f>'CLIENT ENROLLMENT DISCHARGE '!L513</f>
        <v>0</v>
      </c>
      <c r="Y513" s="180" t="s">
        <v>0</v>
      </c>
    </row>
    <row r="514" spans="1:25" ht="50.1" customHeight="1" x14ac:dyDescent="0.25">
      <c r="A514" s="5">
        <v>500</v>
      </c>
      <c r="B514" s="10">
        <f>'CLIENT ENROLLMENT DISCHARGE '!B514</f>
        <v>0</v>
      </c>
      <c r="C514" s="4">
        <f>'CLIENT ENROLLMENT DISCHARGE '!C514</f>
        <v>0</v>
      </c>
      <c r="D514" s="52"/>
      <c r="E514" s="53"/>
      <c r="F514" s="52"/>
      <c r="G514" s="53"/>
      <c r="H514" s="63"/>
      <c r="I514" s="116"/>
      <c r="J514" s="3"/>
      <c r="K514" s="71"/>
      <c r="L514" s="53"/>
      <c r="M514" s="2"/>
      <c r="N514" s="1"/>
      <c r="O514" s="218">
        <f t="shared" si="7"/>
        <v>0</v>
      </c>
      <c r="P514" s="218">
        <f>O514+SEPT!P514</f>
        <v>0</v>
      </c>
      <c r="Q514" s="60"/>
      <c r="R514" s="52"/>
      <c r="S514" s="66"/>
      <c r="T514" s="65"/>
      <c r="U514" s="68"/>
      <c r="V514" s="59"/>
      <c r="W514" s="6">
        <f>'CLIENT ENROLLMENT DISCHARGE '!M514</f>
        <v>0</v>
      </c>
      <c r="X514" s="76">
        <f>'CLIENT ENROLLMENT DISCHARGE '!L514</f>
        <v>0</v>
      </c>
      <c r="Y514" s="180" t="s">
        <v>0</v>
      </c>
    </row>
  </sheetData>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514">
    <cfRule type="expression" dxfId="32" priority="2">
      <formula>$W15="YES"</formula>
    </cfRule>
  </conditionalFormatting>
  <conditionalFormatting sqref="A15:X514">
    <cfRule type="expression" dxfId="31" priority="1">
      <formula>$X15="YES"</formula>
    </cfRule>
  </conditionalFormatting>
  <conditionalFormatting sqref="H15:I514">
    <cfRule type="expression" dxfId="30" priority="811">
      <formula>$H15="Other (Specify) "</formula>
    </cfRule>
  </conditionalFormatting>
  <dataValidations count="4">
    <dataValidation allowBlank="1" showInputMessage="1" showErrorMessage="1" prompt="auto populates" sqref="B15:C514" xr:uid="{00000000-0002-0000-0700-000000000000}"/>
    <dataValidation allowBlank="1" showInputMessage="1" showErrorMessage="1" prompt="Note Section for Column H" sqref="I15:I514" xr:uid="{00000000-0002-0000-0700-000001000000}"/>
    <dataValidation allowBlank="1" showInputMessage="1" showErrorMessage="1" prompt="will auto populate" sqref="W15:W514" xr:uid="{00000000-0002-0000-0700-000002000000}"/>
    <dataValidation allowBlank="1" showInputMessage="1" showErrorMessage="1" prompt="Use MM/DD/YYYY format.  Leave blank until date is needed. " sqref="J15:J514" xr:uid="{00000000-0002-0000-07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700-000004000000}">
          <x14:formula1>
            <xm:f>'drop down list '!$P$15:$P$20</xm:f>
          </x14:formula1>
          <xm:sqref>G9:I9</xm:sqref>
        </x14:dataValidation>
        <x14:dataValidation type="list" allowBlank="1" showInputMessage="1" showErrorMessage="1" xr:uid="{00000000-0002-0000-0700-000005000000}">
          <x14:formula1>
            <xm:f>'drop down list '!$N$12:$N$23</xm:f>
          </x14:formula1>
          <xm:sqref>E9:F9</xm:sqref>
        </x14:dataValidation>
        <x14:dataValidation type="list" allowBlank="1" showInputMessage="1" showErrorMessage="1" xr:uid="{00000000-0002-0000-0700-000006000000}">
          <x14:formula1>
            <xm:f>'drop down list '!$G$14:$G$18</xm:f>
          </x14:formula1>
          <xm:sqref>V15:V514</xm:sqref>
        </x14:dataValidation>
        <x14:dataValidation type="list" allowBlank="1" showInputMessage="1" showErrorMessage="1" xr:uid="{00000000-0002-0000-0700-000007000000}">
          <x14:formula1>
            <xm:f>'drop down list '!$G$24:$G$29</xm:f>
          </x14:formula1>
          <xm:sqref>U15:U514</xm:sqref>
        </x14:dataValidation>
        <x14:dataValidation type="list" allowBlank="1" showInputMessage="1" showErrorMessage="1" xr:uid="{00000000-0002-0000-0700-000008000000}">
          <x14:formula1>
            <xm:f>'drop down list '!$A$21:$A$23</xm:f>
          </x14:formula1>
          <xm:sqref>Q15:Q514</xm:sqref>
        </x14:dataValidation>
        <x14:dataValidation type="list" allowBlank="1" showInputMessage="1" showErrorMessage="1" xr:uid="{00000000-0002-0000-0700-000009000000}">
          <x14:formula1>
            <xm:f>'drop down list '!$C$2:$C$4</xm:f>
          </x14:formula1>
          <xm:sqref>H15:H514</xm:sqref>
        </x14:dataValidation>
        <x14:dataValidation type="list" allowBlank="1" showInputMessage="1" showErrorMessage="1" xr:uid="{00000000-0002-0000-0700-00000A000000}">
          <x14:formula1>
            <xm:f>'drop down list '!$A$3:$A$4</xm:f>
          </x14:formula1>
          <xm:sqref>D15:G514 L15:L514 R15:R514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Y514"/>
  <sheetViews>
    <sheetView zoomScale="110" zoomScaleNormal="110" workbookViewId="0">
      <pane ySplit="1" topLeftCell="A509" activePane="bottomLeft" state="frozen"/>
      <selection pane="bottomLeft" activeCell="C514" sqref="C514"/>
    </sheetView>
  </sheetViews>
  <sheetFormatPr defaultRowHeight="15" x14ac:dyDescent="0.25"/>
  <cols>
    <col min="2" max="6" width="12.7109375" customWidth="1"/>
    <col min="7" max="7" width="10.7109375" customWidth="1"/>
    <col min="8" max="8" width="12.140625" customWidth="1"/>
    <col min="9" max="9" width="13.42578125" customWidth="1"/>
    <col min="10" max="11" width="12.7109375" customWidth="1"/>
    <col min="12" max="12" width="10.28515625" customWidth="1"/>
    <col min="13" max="13" width="10.85546875" customWidth="1"/>
    <col min="14" max="16" width="12" customWidth="1"/>
    <col min="17" max="17" width="12.7109375" customWidth="1"/>
    <col min="18" max="18" width="9.85546875" customWidth="1"/>
    <col min="19" max="19" width="18.140625" customWidth="1"/>
    <col min="20" max="21" width="18.28515625" customWidth="1"/>
    <col min="22" max="23" width="12.7109375" customWidth="1"/>
    <col min="24" max="24" width="0" hidden="1" customWidth="1"/>
    <col min="25" max="25" width="24.42578125" customWidth="1"/>
  </cols>
  <sheetData>
    <row r="1" spans="1:25" ht="49.5" x14ac:dyDescent="0.25">
      <c r="A1" s="35" t="s">
        <v>23</v>
      </c>
      <c r="B1" s="34" t="s">
        <v>42</v>
      </c>
      <c r="C1" s="34" t="s">
        <v>41</v>
      </c>
      <c r="D1" s="50" t="s">
        <v>20</v>
      </c>
      <c r="E1" s="77" t="s">
        <v>122</v>
      </c>
      <c r="F1" s="73" t="s">
        <v>40</v>
      </c>
      <c r="G1" s="56" t="s">
        <v>19</v>
      </c>
      <c r="H1" s="55" t="s">
        <v>106</v>
      </c>
      <c r="I1" s="54" t="s">
        <v>105</v>
      </c>
      <c r="J1" s="78" t="s">
        <v>17</v>
      </c>
      <c r="K1" s="57" t="s">
        <v>39</v>
      </c>
      <c r="L1" s="56" t="s">
        <v>38</v>
      </c>
      <c r="M1" s="33" t="s">
        <v>37</v>
      </c>
      <c r="N1" s="33" t="s">
        <v>36</v>
      </c>
      <c r="O1" s="217" t="s">
        <v>353</v>
      </c>
      <c r="P1" s="217" t="s">
        <v>354</v>
      </c>
      <c r="Q1" s="58" t="s">
        <v>35</v>
      </c>
      <c r="R1" s="61" t="s">
        <v>12</v>
      </c>
      <c r="S1" s="32" t="s">
        <v>11</v>
      </c>
      <c r="T1" s="31" t="s">
        <v>10</v>
      </c>
      <c r="U1" s="69" t="s">
        <v>9</v>
      </c>
      <c r="V1" s="73" t="s">
        <v>8</v>
      </c>
      <c r="W1" s="30" t="s">
        <v>34</v>
      </c>
      <c r="Y1" s="139" t="s">
        <v>118</v>
      </c>
    </row>
    <row r="2" spans="1:25" ht="15.75" x14ac:dyDescent="0.25">
      <c r="A2" s="324" t="str">
        <f>'CLIENT ENROLLMENT DISCHARGE '!A2</f>
        <v>WV Bureau for Behavioral Health and Health Facilities  - Customized Employment v20230622</v>
      </c>
      <c r="B2" s="325"/>
      <c r="C2" s="325"/>
      <c r="D2" s="325"/>
      <c r="E2" s="325"/>
      <c r="F2" s="325"/>
      <c r="G2" s="325"/>
      <c r="H2" s="325"/>
      <c r="I2" s="325"/>
      <c r="J2" s="325"/>
      <c r="K2" s="325"/>
      <c r="L2" s="325"/>
      <c r="M2" s="325"/>
      <c r="N2" s="325"/>
      <c r="O2" s="325"/>
      <c r="P2" s="325"/>
      <c r="Q2" s="325"/>
      <c r="R2" s="325"/>
      <c r="S2" s="325"/>
      <c r="T2" s="29"/>
      <c r="U2" s="28"/>
      <c r="V2" s="28"/>
      <c r="W2" s="28"/>
      <c r="Y2" s="18"/>
    </row>
    <row r="3" spans="1:25" x14ac:dyDescent="0.25">
      <c r="A3" s="327" t="str">
        <f>'CLIENT ENROLLMENT DISCHARGE '!A3</f>
        <v>State Fiscal Year  2024  (July 1, 2023 - June 30, 2024)</v>
      </c>
      <c r="B3" s="328"/>
      <c r="C3" s="328"/>
      <c r="D3" s="328"/>
      <c r="E3" s="328"/>
      <c r="F3" s="328"/>
      <c r="G3" s="328"/>
      <c r="H3" s="328"/>
      <c r="I3" s="328"/>
      <c r="J3" s="328"/>
      <c r="K3" s="328"/>
      <c r="L3" s="328"/>
      <c r="M3" s="328"/>
      <c r="N3" s="328"/>
      <c r="O3" s="328"/>
      <c r="P3" s="328"/>
      <c r="Q3" s="328"/>
      <c r="R3" s="328"/>
      <c r="S3" s="328"/>
      <c r="T3" s="27"/>
      <c r="U3" s="26"/>
      <c r="V3" s="26"/>
      <c r="W3" s="26"/>
      <c r="Y3" s="18"/>
    </row>
    <row r="4" spans="1:25" x14ac:dyDescent="0.25">
      <c r="A4" s="450" t="str">
        <f>'CLIENT ENROLLMENT DISCHARGE '!A4</f>
        <v xml:space="preserve">Program reports need to be submitted electronically, via e-mail to DHHRBBHReporting@wv.gov  within 25 calendar days of the end of each month </v>
      </c>
      <c r="B4" s="451"/>
      <c r="C4" s="451"/>
      <c r="D4" s="451"/>
      <c r="E4" s="451"/>
      <c r="F4" s="451"/>
      <c r="G4" s="451"/>
      <c r="H4" s="451"/>
      <c r="I4" s="451"/>
      <c r="J4" s="451"/>
      <c r="K4" s="451"/>
      <c r="L4" s="451"/>
      <c r="M4" s="451"/>
      <c r="N4" s="451"/>
      <c r="O4" s="451"/>
      <c r="P4" s="451"/>
      <c r="Q4" s="451"/>
      <c r="R4" s="451"/>
      <c r="S4" s="451"/>
      <c r="T4" s="25"/>
      <c r="U4" s="24"/>
      <c r="V4" s="24"/>
      <c r="W4" s="24"/>
      <c r="Y4" s="18"/>
    </row>
    <row r="5" spans="1:25" ht="15.75" x14ac:dyDescent="0.25">
      <c r="A5" s="406" t="s">
        <v>33</v>
      </c>
      <c r="B5" s="406"/>
      <c r="C5" s="406"/>
      <c r="D5" s="406"/>
      <c r="E5" s="303" t="str">
        <f>'CLIENT ENROLLMENT DISCHARGE '!E5</f>
        <v>Customized Employment</v>
      </c>
      <c r="F5" s="304"/>
      <c r="G5" s="304"/>
      <c r="H5" s="304"/>
      <c r="I5" s="305"/>
      <c r="J5" s="406" t="s">
        <v>32</v>
      </c>
      <c r="K5" s="406"/>
      <c r="L5" s="406"/>
      <c r="M5" s="406"/>
      <c r="N5" s="415">
        <f>'CLIENT ENROLLMENT DISCHARGE '!M5</f>
        <v>0</v>
      </c>
      <c r="O5" s="415"/>
      <c r="P5" s="415"/>
      <c r="Q5" s="415"/>
      <c r="R5" s="415"/>
      <c r="S5" s="348"/>
      <c r="T5" s="23"/>
      <c r="U5" s="22"/>
      <c r="V5" s="22"/>
      <c r="W5" s="22"/>
      <c r="Y5" s="18"/>
    </row>
    <row r="6" spans="1:25" ht="15.75" x14ac:dyDescent="0.25">
      <c r="A6" s="406" t="s">
        <v>31</v>
      </c>
      <c r="B6" s="406"/>
      <c r="C6" s="406"/>
      <c r="D6" s="406"/>
      <c r="E6" s="303">
        <f>'CLIENT ENROLLMENT DISCHARGE '!E6</f>
        <v>0</v>
      </c>
      <c r="F6" s="304"/>
      <c r="G6" s="304"/>
      <c r="H6" s="304"/>
      <c r="I6" s="305"/>
      <c r="J6" s="406" t="s">
        <v>30</v>
      </c>
      <c r="K6" s="406"/>
      <c r="L6" s="406"/>
      <c r="M6" s="406"/>
      <c r="N6" s="407">
        <f>'CLIENT ENROLLMENT DISCHARGE '!M6</f>
        <v>0</v>
      </c>
      <c r="O6" s="407"/>
      <c r="P6" s="407"/>
      <c r="Q6" s="407"/>
      <c r="R6" s="407"/>
      <c r="S6" s="461"/>
      <c r="T6" s="21"/>
      <c r="U6" s="20"/>
      <c r="V6" s="20"/>
      <c r="W6" s="20"/>
      <c r="Y6" s="18"/>
    </row>
    <row r="7" spans="1:25" ht="15.75" x14ac:dyDescent="0.25">
      <c r="A7" s="408" t="s">
        <v>29</v>
      </c>
      <c r="B7" s="408"/>
      <c r="C7" s="408"/>
      <c r="D7" s="408"/>
      <c r="E7" s="355">
        <f>'CLIENT ENROLLMENT DISCHARGE '!E7</f>
        <v>0</v>
      </c>
      <c r="F7" s="356"/>
      <c r="G7" s="356"/>
      <c r="H7" s="356"/>
      <c r="I7" s="357"/>
      <c r="J7" s="406" t="s">
        <v>124</v>
      </c>
      <c r="K7" s="406"/>
      <c r="L7" s="406"/>
      <c r="M7" s="406"/>
      <c r="N7" s="407">
        <f>'CLIENT ENROLLMENT DISCHARGE '!M7</f>
        <v>0</v>
      </c>
      <c r="O7" s="407"/>
      <c r="P7" s="407"/>
      <c r="Q7" s="407"/>
      <c r="R7" s="407"/>
      <c r="S7" s="461"/>
      <c r="T7" s="21"/>
      <c r="U7" s="20"/>
      <c r="V7" s="20"/>
      <c r="W7" s="20"/>
      <c r="Y7" s="18"/>
    </row>
    <row r="8" spans="1:25" ht="15.75" x14ac:dyDescent="0.25">
      <c r="A8" s="408"/>
      <c r="B8" s="408"/>
      <c r="C8" s="408"/>
      <c r="D8" s="408"/>
      <c r="E8" s="358"/>
      <c r="F8" s="359"/>
      <c r="G8" s="359"/>
      <c r="H8" s="359"/>
      <c r="I8" s="360"/>
      <c r="J8" s="454" t="s">
        <v>28</v>
      </c>
      <c r="K8" s="454"/>
      <c r="L8" s="454"/>
      <c r="M8" s="454"/>
      <c r="N8" s="407">
        <f>'CLIENT ENROLLMENT DISCHARGE '!M8</f>
        <v>0</v>
      </c>
      <c r="O8" s="407"/>
      <c r="P8" s="407"/>
      <c r="Q8" s="407"/>
      <c r="R8" s="407"/>
      <c r="S8" s="461"/>
      <c r="T8" s="21"/>
      <c r="U8" s="20"/>
      <c r="V8" s="20"/>
      <c r="W8" s="20"/>
      <c r="Y8" s="18"/>
    </row>
    <row r="9" spans="1:25" ht="15.75" x14ac:dyDescent="0.25">
      <c r="A9" s="416" t="s">
        <v>27</v>
      </c>
      <c r="B9" s="416"/>
      <c r="C9" s="416"/>
      <c r="D9" s="416"/>
      <c r="E9" s="447" t="s">
        <v>78</v>
      </c>
      <c r="F9" s="447"/>
      <c r="G9" s="491">
        <v>2023</v>
      </c>
      <c r="H9" s="492"/>
      <c r="I9" s="493"/>
      <c r="J9" s="455" t="s">
        <v>123</v>
      </c>
      <c r="K9" s="456"/>
      <c r="L9" s="456"/>
      <c r="M9" s="457"/>
      <c r="N9" s="407">
        <f>'CLIENT ENROLLMENT DISCHARGE '!M9</f>
        <v>0</v>
      </c>
      <c r="O9" s="407"/>
      <c r="P9" s="407"/>
      <c r="Q9" s="407"/>
      <c r="R9" s="407"/>
      <c r="S9" s="461"/>
      <c r="T9" s="21"/>
      <c r="U9" s="20"/>
      <c r="V9" s="20"/>
      <c r="W9" s="20"/>
      <c r="Y9" s="18"/>
    </row>
    <row r="10" spans="1:25" x14ac:dyDescent="0.25">
      <c r="A10" s="440" t="s">
        <v>144</v>
      </c>
      <c r="B10" s="441"/>
      <c r="C10" s="441"/>
      <c r="D10" s="441"/>
      <c r="E10" s="441"/>
      <c r="F10" s="441"/>
      <c r="G10" s="441"/>
      <c r="H10" s="441"/>
      <c r="I10" s="441"/>
      <c r="J10" s="441"/>
      <c r="K10" s="441"/>
      <c r="L10" s="441"/>
      <c r="M10" s="441"/>
      <c r="N10" s="441"/>
      <c r="O10" s="441"/>
      <c r="P10" s="441"/>
      <c r="Q10" s="441"/>
      <c r="R10" s="441"/>
      <c r="S10" s="441"/>
      <c r="T10" s="19"/>
      <c r="U10" s="18"/>
      <c r="V10" s="18"/>
      <c r="W10" s="18"/>
      <c r="Y10" s="18"/>
    </row>
    <row r="11" spans="1:25" ht="39.950000000000003" customHeight="1" x14ac:dyDescent="0.25">
      <c r="A11" s="398" t="s">
        <v>25</v>
      </c>
      <c r="B11" s="399"/>
      <c r="C11" s="458"/>
      <c r="D11" s="484" t="s">
        <v>0</v>
      </c>
      <c r="E11" s="400"/>
      <c r="F11" s="400"/>
      <c r="G11" s="400"/>
      <c r="H11" s="400"/>
      <c r="I11" s="400"/>
      <c r="J11" s="400"/>
      <c r="K11" s="400"/>
      <c r="L11" s="400"/>
      <c r="M11" s="400"/>
      <c r="N11" s="400"/>
      <c r="O11" s="400"/>
      <c r="P11" s="400"/>
      <c r="Q11" s="400"/>
      <c r="R11" s="400"/>
      <c r="S11" s="400"/>
      <c r="T11" s="17"/>
      <c r="U11" s="16"/>
      <c r="V11" s="16"/>
      <c r="W11" s="16"/>
      <c r="Y11" s="18"/>
    </row>
    <row r="12" spans="1:25" x14ac:dyDescent="0.25">
      <c r="A12" s="15" t="s">
        <v>24</v>
      </c>
      <c r="B12" s="15"/>
      <c r="C12" s="15"/>
      <c r="D12" s="15"/>
      <c r="E12" s="15"/>
      <c r="F12" s="15"/>
      <c r="G12" s="15"/>
      <c r="H12" s="15"/>
      <c r="I12" s="15"/>
      <c r="J12" s="15"/>
      <c r="K12" s="15"/>
      <c r="L12" s="15"/>
      <c r="M12" s="15"/>
      <c r="N12" s="15"/>
      <c r="O12" s="15"/>
      <c r="P12" s="15"/>
      <c r="Q12" s="15"/>
      <c r="R12" s="15"/>
      <c r="S12" s="15"/>
      <c r="T12" s="15"/>
      <c r="U12" s="15"/>
      <c r="V12" s="15"/>
      <c r="W12" s="15"/>
      <c r="Y12" s="129"/>
    </row>
    <row r="13" spans="1:25" ht="29.25" x14ac:dyDescent="0.25">
      <c r="A13" s="459" t="s">
        <v>23</v>
      </c>
      <c r="B13" s="466" t="s">
        <v>22</v>
      </c>
      <c r="C13" s="468" t="s">
        <v>21</v>
      </c>
      <c r="D13" s="470" t="s">
        <v>20</v>
      </c>
      <c r="E13" s="46" t="s">
        <v>102</v>
      </c>
      <c r="F13" s="47" t="s">
        <v>103</v>
      </c>
      <c r="G13" s="472" t="s">
        <v>19</v>
      </c>
      <c r="H13" s="496" t="s">
        <v>106</v>
      </c>
      <c r="I13" s="494" t="s">
        <v>105</v>
      </c>
      <c r="J13" s="14" t="s">
        <v>17</v>
      </c>
      <c r="K13" s="140" t="s">
        <v>16</v>
      </c>
      <c r="L13" s="474" t="s">
        <v>15</v>
      </c>
      <c r="M13" s="482" t="s">
        <v>14</v>
      </c>
      <c r="N13" s="483"/>
      <c r="O13" s="485" t="s">
        <v>353</v>
      </c>
      <c r="P13" s="485" t="s">
        <v>354</v>
      </c>
      <c r="Q13" s="476" t="s">
        <v>13</v>
      </c>
      <c r="R13" s="478" t="s">
        <v>12</v>
      </c>
      <c r="S13" s="480" t="s">
        <v>11</v>
      </c>
      <c r="T13" s="452" t="s">
        <v>10</v>
      </c>
      <c r="U13" s="464" t="s">
        <v>9</v>
      </c>
      <c r="V13" s="462" t="s">
        <v>8</v>
      </c>
      <c r="W13" s="489" t="s">
        <v>7</v>
      </c>
      <c r="Y13" s="449" t="s">
        <v>118</v>
      </c>
    </row>
    <row r="14" spans="1:25" ht="22.5" x14ac:dyDescent="0.25">
      <c r="A14" s="460"/>
      <c r="B14" s="467"/>
      <c r="C14" s="469"/>
      <c r="D14" s="471"/>
      <c r="E14" s="48" t="s">
        <v>6</v>
      </c>
      <c r="F14" s="49" t="s">
        <v>5</v>
      </c>
      <c r="G14" s="473"/>
      <c r="H14" s="497"/>
      <c r="I14" s="495"/>
      <c r="J14" s="13" t="s">
        <v>4</v>
      </c>
      <c r="K14" s="72" t="s">
        <v>3</v>
      </c>
      <c r="L14" s="475"/>
      <c r="M14" s="12" t="s">
        <v>2</v>
      </c>
      <c r="N14" s="11" t="s">
        <v>1</v>
      </c>
      <c r="O14" s="486"/>
      <c r="P14" s="486"/>
      <c r="Q14" s="477"/>
      <c r="R14" s="479"/>
      <c r="S14" s="481"/>
      <c r="T14" s="453"/>
      <c r="U14" s="465"/>
      <c r="V14" s="463"/>
      <c r="W14" s="490"/>
      <c r="Y14" s="449"/>
    </row>
    <row r="15" spans="1:25" ht="50.1" customHeight="1" x14ac:dyDescent="0.25">
      <c r="A15" s="5">
        <f>ROW(A1)</f>
        <v>1</v>
      </c>
      <c r="B15" s="10">
        <f>'CLIENT ENROLLMENT DISCHARGE '!B15</f>
        <v>0</v>
      </c>
      <c r="C15" s="4">
        <f>'CLIENT ENROLLMENT DISCHARGE '!C15</f>
        <v>0</v>
      </c>
      <c r="D15" s="51"/>
      <c r="E15" s="52"/>
      <c r="F15" s="51"/>
      <c r="G15" s="52"/>
      <c r="H15" s="62"/>
      <c r="I15" s="115"/>
      <c r="J15" s="143"/>
      <c r="K15" s="70"/>
      <c r="L15" s="52"/>
      <c r="M15" s="8"/>
      <c r="N15" s="7"/>
      <c r="O15" s="218">
        <f>K15*N15</f>
        <v>0</v>
      </c>
      <c r="P15" s="218">
        <f>O15+OCT!P15</f>
        <v>0</v>
      </c>
      <c r="Q15" s="59"/>
      <c r="R15" s="51"/>
      <c r="S15" s="65"/>
      <c r="T15" s="64"/>
      <c r="U15" s="67"/>
      <c r="V15" s="74"/>
      <c r="W15" s="6">
        <f>'CLIENT ENROLLMENT DISCHARGE '!M15</f>
        <v>0</v>
      </c>
      <c r="X15" s="76">
        <f>'CLIENT ENROLLMENT DISCHARGE '!L15</f>
        <v>0</v>
      </c>
      <c r="Y15" s="180" t="s">
        <v>0</v>
      </c>
    </row>
    <row r="16" spans="1:25" ht="50.1" customHeight="1" x14ac:dyDescent="0.25">
      <c r="A16" s="5">
        <f t="shared" ref="A16:A79" si="0">ROW(A2)</f>
        <v>2</v>
      </c>
      <c r="B16" s="10">
        <f>'CLIENT ENROLLMENT DISCHARGE '!B16</f>
        <v>0</v>
      </c>
      <c r="C16" s="4">
        <f>'CLIENT ENROLLMENT DISCHARGE '!C16</f>
        <v>0</v>
      </c>
      <c r="D16" s="52"/>
      <c r="E16" s="53"/>
      <c r="F16" s="52"/>
      <c r="G16" s="53"/>
      <c r="H16" s="63"/>
      <c r="I16" s="116"/>
      <c r="J16" s="144"/>
      <c r="K16" s="71"/>
      <c r="L16" s="53"/>
      <c r="M16" s="2"/>
      <c r="N16" s="1"/>
      <c r="O16" s="218">
        <f t="shared" ref="O16:O79" si="1">K16*N16</f>
        <v>0</v>
      </c>
      <c r="P16" s="218">
        <f>O16+OCT!P16</f>
        <v>0</v>
      </c>
      <c r="Q16" s="60"/>
      <c r="R16" s="52"/>
      <c r="S16" s="66"/>
      <c r="T16" s="65"/>
      <c r="U16" s="68"/>
      <c r="V16" s="59"/>
      <c r="W16" s="6">
        <f>'CLIENT ENROLLMENT DISCHARGE '!M16</f>
        <v>0</v>
      </c>
      <c r="X16" s="76">
        <f>'CLIENT ENROLLMENT DISCHARGE '!L16</f>
        <v>0</v>
      </c>
      <c r="Y16" s="180" t="s">
        <v>0</v>
      </c>
    </row>
    <row r="17" spans="1:25" ht="50.1" customHeight="1" x14ac:dyDescent="0.25">
      <c r="A17" s="5">
        <f t="shared" si="0"/>
        <v>3</v>
      </c>
      <c r="B17" s="10">
        <f>'CLIENT ENROLLMENT DISCHARGE '!B17</f>
        <v>0</v>
      </c>
      <c r="C17" s="4">
        <f>'CLIENT ENROLLMENT DISCHARGE '!C17</f>
        <v>0</v>
      </c>
      <c r="D17" s="51"/>
      <c r="E17" s="52"/>
      <c r="F17" s="51"/>
      <c r="G17" s="52"/>
      <c r="H17" s="62"/>
      <c r="I17" s="115"/>
      <c r="J17" s="9"/>
      <c r="K17" s="70"/>
      <c r="L17" s="52"/>
      <c r="M17" s="8"/>
      <c r="N17" s="7"/>
      <c r="O17" s="218">
        <f t="shared" si="1"/>
        <v>0</v>
      </c>
      <c r="P17" s="218">
        <f>O17+OCT!P17</f>
        <v>0</v>
      </c>
      <c r="Q17" s="59"/>
      <c r="R17" s="51"/>
      <c r="S17" s="65"/>
      <c r="T17" s="64"/>
      <c r="U17" s="67"/>
      <c r="V17" s="74"/>
      <c r="W17" s="6">
        <f>'CLIENT ENROLLMENT DISCHARGE '!M17</f>
        <v>0</v>
      </c>
      <c r="X17" s="76">
        <f>'CLIENT ENROLLMENT DISCHARGE '!L17</f>
        <v>0</v>
      </c>
      <c r="Y17" s="180" t="s">
        <v>0</v>
      </c>
    </row>
    <row r="18" spans="1:25" ht="50.1" customHeight="1" x14ac:dyDescent="0.25">
      <c r="A18" s="5">
        <f t="shared" si="0"/>
        <v>4</v>
      </c>
      <c r="B18" s="10">
        <f>'CLIENT ENROLLMENT DISCHARGE '!B18</f>
        <v>0</v>
      </c>
      <c r="C18" s="4">
        <f>'CLIENT ENROLLMENT DISCHARGE '!C18</f>
        <v>0</v>
      </c>
      <c r="D18" s="52"/>
      <c r="E18" s="53"/>
      <c r="F18" s="52"/>
      <c r="G18" s="53"/>
      <c r="H18" s="63"/>
      <c r="I18" s="116"/>
      <c r="J18" s="144"/>
      <c r="K18" s="71"/>
      <c r="L18" s="53"/>
      <c r="M18" s="2"/>
      <c r="N18" s="1"/>
      <c r="O18" s="218">
        <f t="shared" si="1"/>
        <v>0</v>
      </c>
      <c r="P18" s="218">
        <f>O18+OCT!P18</f>
        <v>0</v>
      </c>
      <c r="Q18" s="60"/>
      <c r="R18" s="52"/>
      <c r="S18" s="66"/>
      <c r="T18" s="65"/>
      <c r="U18" s="68"/>
      <c r="V18" s="59"/>
      <c r="W18" s="6">
        <f>'CLIENT ENROLLMENT DISCHARGE '!M18</f>
        <v>0</v>
      </c>
      <c r="X18" s="76">
        <f>'CLIENT ENROLLMENT DISCHARGE '!L18</f>
        <v>0</v>
      </c>
      <c r="Y18" s="180" t="s">
        <v>0</v>
      </c>
    </row>
    <row r="19" spans="1:25" ht="50.1" customHeight="1" x14ac:dyDescent="0.25">
      <c r="A19" s="5">
        <f t="shared" si="0"/>
        <v>5</v>
      </c>
      <c r="B19" s="10">
        <f>'CLIENT ENROLLMENT DISCHARGE '!B19</f>
        <v>0</v>
      </c>
      <c r="C19" s="4">
        <f>'CLIENT ENROLLMENT DISCHARGE '!C19</f>
        <v>0</v>
      </c>
      <c r="D19" s="51"/>
      <c r="E19" s="52"/>
      <c r="F19" s="51"/>
      <c r="G19" s="52"/>
      <c r="H19" s="62"/>
      <c r="I19" s="115"/>
      <c r="J19" s="143"/>
      <c r="K19" s="70"/>
      <c r="L19" s="52"/>
      <c r="M19" s="8"/>
      <c r="N19" s="7"/>
      <c r="O19" s="218">
        <f t="shared" si="1"/>
        <v>0</v>
      </c>
      <c r="P19" s="218">
        <f>O19+OCT!P19</f>
        <v>0</v>
      </c>
      <c r="Q19" s="59"/>
      <c r="R19" s="51"/>
      <c r="S19" s="65"/>
      <c r="T19" s="64"/>
      <c r="U19" s="67"/>
      <c r="V19" s="74"/>
      <c r="W19" s="6">
        <f>'CLIENT ENROLLMENT DISCHARGE '!M19</f>
        <v>0</v>
      </c>
      <c r="X19" s="76">
        <f>'CLIENT ENROLLMENT DISCHARGE '!L19</f>
        <v>0</v>
      </c>
      <c r="Y19" s="180" t="s">
        <v>0</v>
      </c>
    </row>
    <row r="20" spans="1:25" ht="50.1" customHeight="1" x14ac:dyDescent="0.25">
      <c r="A20" s="5">
        <f t="shared" si="0"/>
        <v>6</v>
      </c>
      <c r="B20" s="10">
        <f>'CLIENT ENROLLMENT DISCHARGE '!B20</f>
        <v>0</v>
      </c>
      <c r="C20" s="4">
        <f>'CLIENT ENROLLMENT DISCHARGE '!C20</f>
        <v>0</v>
      </c>
      <c r="D20" s="52"/>
      <c r="E20" s="53"/>
      <c r="F20" s="52"/>
      <c r="G20" s="53"/>
      <c r="H20" s="63"/>
      <c r="I20" s="116"/>
      <c r="J20" s="3"/>
      <c r="K20" s="71"/>
      <c r="L20" s="53"/>
      <c r="M20" s="2"/>
      <c r="N20" s="1"/>
      <c r="O20" s="218">
        <f t="shared" si="1"/>
        <v>0</v>
      </c>
      <c r="P20" s="218">
        <f>O20+OCT!P20</f>
        <v>0</v>
      </c>
      <c r="Q20" s="60"/>
      <c r="R20" s="52"/>
      <c r="S20" s="66"/>
      <c r="T20" s="65"/>
      <c r="U20" s="68"/>
      <c r="V20" s="75"/>
      <c r="W20" s="6">
        <f>'CLIENT ENROLLMENT DISCHARGE '!M20</f>
        <v>0</v>
      </c>
      <c r="X20" s="76">
        <f>'CLIENT ENROLLMENT DISCHARGE '!L20</f>
        <v>0</v>
      </c>
      <c r="Y20" s="180" t="s">
        <v>0</v>
      </c>
    </row>
    <row r="21" spans="1:25" ht="50.1" customHeight="1" x14ac:dyDescent="0.25">
      <c r="A21" s="5">
        <f t="shared" si="0"/>
        <v>7</v>
      </c>
      <c r="B21" s="10">
        <f>'CLIENT ENROLLMENT DISCHARGE '!B21</f>
        <v>0</v>
      </c>
      <c r="C21" s="4">
        <f>'CLIENT ENROLLMENT DISCHARGE '!C21</f>
        <v>0</v>
      </c>
      <c r="D21" s="51"/>
      <c r="E21" s="52"/>
      <c r="F21" s="51"/>
      <c r="G21" s="52"/>
      <c r="H21" s="62"/>
      <c r="I21" s="115"/>
      <c r="J21" s="9"/>
      <c r="K21" s="70"/>
      <c r="L21" s="52"/>
      <c r="M21" s="8"/>
      <c r="N21" s="7"/>
      <c r="O21" s="218">
        <f t="shared" si="1"/>
        <v>0</v>
      </c>
      <c r="P21" s="218">
        <f>O21+OCT!P21</f>
        <v>0</v>
      </c>
      <c r="Q21" s="59"/>
      <c r="R21" s="51"/>
      <c r="S21" s="65"/>
      <c r="T21" s="64"/>
      <c r="U21" s="67"/>
      <c r="V21" s="74"/>
      <c r="W21" s="6">
        <f>'CLIENT ENROLLMENT DISCHARGE '!M21</f>
        <v>0</v>
      </c>
      <c r="X21" s="76">
        <f>'CLIENT ENROLLMENT DISCHARGE '!L21</f>
        <v>0</v>
      </c>
      <c r="Y21" s="180" t="s">
        <v>0</v>
      </c>
    </row>
    <row r="22" spans="1:25" ht="50.1" customHeight="1" x14ac:dyDescent="0.25">
      <c r="A22" s="5">
        <f t="shared" si="0"/>
        <v>8</v>
      </c>
      <c r="B22" s="10">
        <f>'CLIENT ENROLLMENT DISCHARGE '!B22</f>
        <v>0</v>
      </c>
      <c r="C22" s="4">
        <f>'CLIENT ENROLLMENT DISCHARGE '!C22</f>
        <v>0</v>
      </c>
      <c r="D22" s="52"/>
      <c r="E22" s="53"/>
      <c r="F22" s="52"/>
      <c r="G22" s="53"/>
      <c r="H22" s="63"/>
      <c r="I22" s="116"/>
      <c r="J22" s="3"/>
      <c r="K22" s="71"/>
      <c r="L22" s="53"/>
      <c r="M22" s="2"/>
      <c r="N22" s="1"/>
      <c r="O22" s="218">
        <f t="shared" si="1"/>
        <v>0</v>
      </c>
      <c r="P22" s="218">
        <f>O22+OCT!P22</f>
        <v>0</v>
      </c>
      <c r="Q22" s="60"/>
      <c r="R22" s="52"/>
      <c r="S22" s="66"/>
      <c r="T22" s="65"/>
      <c r="U22" s="68"/>
      <c r="V22" s="59"/>
      <c r="W22" s="6">
        <f>'CLIENT ENROLLMENT DISCHARGE '!M22</f>
        <v>0</v>
      </c>
      <c r="X22" s="76">
        <f>'CLIENT ENROLLMENT DISCHARGE '!L22</f>
        <v>0</v>
      </c>
      <c r="Y22" s="180" t="s">
        <v>0</v>
      </c>
    </row>
    <row r="23" spans="1:25" ht="50.1" customHeight="1" x14ac:dyDescent="0.25">
      <c r="A23" s="5">
        <f t="shared" si="0"/>
        <v>9</v>
      </c>
      <c r="B23" s="10">
        <f>'CLIENT ENROLLMENT DISCHARGE '!B23</f>
        <v>0</v>
      </c>
      <c r="C23" s="4">
        <f>'CLIENT ENROLLMENT DISCHARGE '!C23</f>
        <v>0</v>
      </c>
      <c r="D23" s="51"/>
      <c r="E23" s="52"/>
      <c r="F23" s="51"/>
      <c r="G23" s="52"/>
      <c r="H23" s="62"/>
      <c r="I23" s="115"/>
      <c r="J23" s="9"/>
      <c r="K23" s="70"/>
      <c r="L23" s="52"/>
      <c r="M23" s="8"/>
      <c r="N23" s="7"/>
      <c r="O23" s="218">
        <f t="shared" si="1"/>
        <v>0</v>
      </c>
      <c r="P23" s="218">
        <f>O23+OCT!P23</f>
        <v>0</v>
      </c>
      <c r="Q23" s="59"/>
      <c r="R23" s="51"/>
      <c r="S23" s="65"/>
      <c r="T23" s="64"/>
      <c r="U23" s="67"/>
      <c r="V23" s="74"/>
      <c r="W23" s="6">
        <f>'CLIENT ENROLLMENT DISCHARGE '!M23</f>
        <v>0</v>
      </c>
      <c r="X23" s="76">
        <f>'CLIENT ENROLLMENT DISCHARGE '!L23</f>
        <v>0</v>
      </c>
      <c r="Y23" s="180" t="s">
        <v>0</v>
      </c>
    </row>
    <row r="24" spans="1:25" ht="50.1" customHeight="1" x14ac:dyDescent="0.25">
      <c r="A24" s="5">
        <f t="shared" si="0"/>
        <v>10</v>
      </c>
      <c r="B24" s="10">
        <f>'CLIENT ENROLLMENT DISCHARGE '!B24</f>
        <v>0</v>
      </c>
      <c r="C24" s="4">
        <f>'CLIENT ENROLLMENT DISCHARGE '!C24</f>
        <v>0</v>
      </c>
      <c r="D24" s="52"/>
      <c r="E24" s="53"/>
      <c r="F24" s="52"/>
      <c r="G24" s="53"/>
      <c r="H24" s="63"/>
      <c r="I24" s="116"/>
      <c r="J24" s="144"/>
      <c r="K24" s="71"/>
      <c r="L24" s="53"/>
      <c r="M24" s="2"/>
      <c r="N24" s="1"/>
      <c r="O24" s="218">
        <f t="shared" si="1"/>
        <v>0</v>
      </c>
      <c r="P24" s="218">
        <f>O24+OCT!P24</f>
        <v>0</v>
      </c>
      <c r="Q24" s="60"/>
      <c r="R24" s="52"/>
      <c r="S24" s="66"/>
      <c r="T24" s="65"/>
      <c r="U24" s="68"/>
      <c r="V24" s="59"/>
      <c r="W24" s="6">
        <f>'CLIENT ENROLLMENT DISCHARGE '!M24</f>
        <v>0</v>
      </c>
      <c r="X24" s="76">
        <f>'CLIENT ENROLLMENT DISCHARGE '!L24</f>
        <v>0</v>
      </c>
      <c r="Y24" s="180" t="s">
        <v>0</v>
      </c>
    </row>
    <row r="25" spans="1:25" ht="50.1" customHeight="1" x14ac:dyDescent="0.25">
      <c r="A25" s="5">
        <f t="shared" si="0"/>
        <v>11</v>
      </c>
      <c r="B25" s="10">
        <f>'CLIENT ENROLLMENT DISCHARGE '!B25</f>
        <v>0</v>
      </c>
      <c r="C25" s="4">
        <f>'CLIENT ENROLLMENT DISCHARGE '!C25</f>
        <v>0</v>
      </c>
      <c r="D25" s="51"/>
      <c r="E25" s="52"/>
      <c r="F25" s="51"/>
      <c r="G25" s="52"/>
      <c r="H25" s="62"/>
      <c r="I25" s="115"/>
      <c r="J25" s="143"/>
      <c r="K25" s="70"/>
      <c r="L25" s="52"/>
      <c r="M25" s="8"/>
      <c r="N25" s="7"/>
      <c r="O25" s="218">
        <f t="shared" si="1"/>
        <v>0</v>
      </c>
      <c r="P25" s="218">
        <f>O25+OCT!P25</f>
        <v>0</v>
      </c>
      <c r="Q25" s="59"/>
      <c r="R25" s="51"/>
      <c r="S25" s="65"/>
      <c r="T25" s="64"/>
      <c r="U25" s="67"/>
      <c r="V25" s="74"/>
      <c r="W25" s="6">
        <f>'CLIENT ENROLLMENT DISCHARGE '!M25</f>
        <v>0</v>
      </c>
      <c r="X25" s="76">
        <f>'CLIENT ENROLLMENT DISCHARGE '!L25</f>
        <v>0</v>
      </c>
      <c r="Y25" s="180" t="s">
        <v>0</v>
      </c>
    </row>
    <row r="26" spans="1:25" ht="50.1" customHeight="1" x14ac:dyDescent="0.25">
      <c r="A26" s="5">
        <f t="shared" si="0"/>
        <v>12</v>
      </c>
      <c r="B26" s="10">
        <f>'CLIENT ENROLLMENT DISCHARGE '!B26</f>
        <v>0</v>
      </c>
      <c r="C26" s="4">
        <f>'CLIENT ENROLLMENT DISCHARGE '!C26</f>
        <v>0</v>
      </c>
      <c r="D26" s="52"/>
      <c r="E26" s="53"/>
      <c r="F26" s="52"/>
      <c r="G26" s="53"/>
      <c r="H26" s="63"/>
      <c r="I26" s="116"/>
      <c r="J26" s="144"/>
      <c r="K26" s="71"/>
      <c r="L26" s="53"/>
      <c r="M26" s="2"/>
      <c r="N26" s="1"/>
      <c r="O26" s="218">
        <f t="shared" si="1"/>
        <v>0</v>
      </c>
      <c r="P26" s="218">
        <f>O26+OCT!P26</f>
        <v>0</v>
      </c>
      <c r="Q26" s="60"/>
      <c r="R26" s="52"/>
      <c r="S26" s="66"/>
      <c r="T26" s="65"/>
      <c r="U26" s="68"/>
      <c r="V26" s="59"/>
      <c r="W26" s="6">
        <f>'CLIENT ENROLLMENT DISCHARGE '!M26</f>
        <v>0</v>
      </c>
      <c r="X26" s="76">
        <f>'CLIENT ENROLLMENT DISCHARGE '!L26</f>
        <v>0</v>
      </c>
      <c r="Y26" s="180" t="s">
        <v>0</v>
      </c>
    </row>
    <row r="27" spans="1:25" ht="50.1" customHeight="1" x14ac:dyDescent="0.25">
      <c r="A27" s="5">
        <f t="shared" si="0"/>
        <v>13</v>
      </c>
      <c r="B27" s="10">
        <f>'CLIENT ENROLLMENT DISCHARGE '!B27</f>
        <v>0</v>
      </c>
      <c r="C27" s="4">
        <f>'CLIENT ENROLLMENT DISCHARGE '!C27</f>
        <v>0</v>
      </c>
      <c r="D27" s="51"/>
      <c r="E27" s="52"/>
      <c r="F27" s="51"/>
      <c r="G27" s="52"/>
      <c r="H27" s="62"/>
      <c r="I27" s="115"/>
      <c r="J27" s="143"/>
      <c r="K27" s="70"/>
      <c r="L27" s="52"/>
      <c r="M27" s="8"/>
      <c r="N27" s="7"/>
      <c r="O27" s="218">
        <f t="shared" si="1"/>
        <v>0</v>
      </c>
      <c r="P27" s="218">
        <f>O27+OCT!P27</f>
        <v>0</v>
      </c>
      <c r="Q27" s="59"/>
      <c r="R27" s="51"/>
      <c r="S27" s="65"/>
      <c r="T27" s="64"/>
      <c r="U27" s="67"/>
      <c r="V27" s="74"/>
      <c r="W27" s="6">
        <f>'CLIENT ENROLLMENT DISCHARGE '!M27</f>
        <v>0</v>
      </c>
      <c r="X27" s="76">
        <f>'CLIENT ENROLLMENT DISCHARGE '!L27</f>
        <v>0</v>
      </c>
      <c r="Y27" s="180" t="s">
        <v>0</v>
      </c>
    </row>
    <row r="28" spans="1:25" ht="50.1" customHeight="1" x14ac:dyDescent="0.25">
      <c r="A28" s="5">
        <f t="shared" si="0"/>
        <v>14</v>
      </c>
      <c r="B28" s="10">
        <f>'CLIENT ENROLLMENT DISCHARGE '!B28</f>
        <v>0</v>
      </c>
      <c r="C28" s="4">
        <f>'CLIENT ENROLLMENT DISCHARGE '!C28</f>
        <v>0</v>
      </c>
      <c r="D28" s="52"/>
      <c r="E28" s="53"/>
      <c r="F28" s="52"/>
      <c r="G28" s="53"/>
      <c r="H28" s="63"/>
      <c r="I28" s="116"/>
      <c r="J28" s="3"/>
      <c r="K28" s="71"/>
      <c r="L28" s="53"/>
      <c r="M28" s="2"/>
      <c r="N28" s="1"/>
      <c r="O28" s="218">
        <f t="shared" si="1"/>
        <v>0</v>
      </c>
      <c r="P28" s="218">
        <f>O28+OCT!P28</f>
        <v>0</v>
      </c>
      <c r="Q28" s="60"/>
      <c r="R28" s="52"/>
      <c r="S28" s="66"/>
      <c r="T28" s="65"/>
      <c r="U28" s="68"/>
      <c r="V28" s="59"/>
      <c r="W28" s="6">
        <f>'CLIENT ENROLLMENT DISCHARGE '!M28</f>
        <v>0</v>
      </c>
      <c r="X28" s="76">
        <f>'CLIENT ENROLLMENT DISCHARGE '!L28</f>
        <v>0</v>
      </c>
      <c r="Y28" s="180" t="s">
        <v>0</v>
      </c>
    </row>
    <row r="29" spans="1:25" ht="50.1" customHeight="1" x14ac:dyDescent="0.25">
      <c r="A29" s="5">
        <f t="shared" si="0"/>
        <v>15</v>
      </c>
      <c r="B29" s="10">
        <f>'CLIENT ENROLLMENT DISCHARGE '!B29</f>
        <v>0</v>
      </c>
      <c r="C29" s="4">
        <f>'CLIENT ENROLLMENT DISCHARGE '!C29</f>
        <v>0</v>
      </c>
      <c r="D29" s="51"/>
      <c r="E29" s="52"/>
      <c r="F29" s="51"/>
      <c r="G29" s="52"/>
      <c r="H29" s="62"/>
      <c r="I29" s="115"/>
      <c r="J29" s="9"/>
      <c r="K29" s="70"/>
      <c r="L29" s="52"/>
      <c r="M29" s="8"/>
      <c r="N29" s="7"/>
      <c r="O29" s="218">
        <f t="shared" si="1"/>
        <v>0</v>
      </c>
      <c r="P29" s="218">
        <f>O29+OCT!P29</f>
        <v>0</v>
      </c>
      <c r="Q29" s="59"/>
      <c r="R29" s="51"/>
      <c r="S29" s="65"/>
      <c r="T29" s="64"/>
      <c r="U29" s="67"/>
      <c r="V29" s="74"/>
      <c r="W29" s="6">
        <f>'CLIENT ENROLLMENT DISCHARGE '!M29</f>
        <v>0</v>
      </c>
      <c r="X29" s="76">
        <f>'CLIENT ENROLLMENT DISCHARGE '!L29</f>
        <v>0</v>
      </c>
      <c r="Y29" s="180" t="s">
        <v>0</v>
      </c>
    </row>
    <row r="30" spans="1:25" ht="50.1" customHeight="1" x14ac:dyDescent="0.25">
      <c r="A30" s="5">
        <f t="shared" si="0"/>
        <v>16</v>
      </c>
      <c r="B30" s="10">
        <f>'CLIENT ENROLLMENT DISCHARGE '!B30</f>
        <v>0</v>
      </c>
      <c r="C30" s="4">
        <f>'CLIENT ENROLLMENT DISCHARGE '!C30</f>
        <v>0</v>
      </c>
      <c r="D30" s="52"/>
      <c r="E30" s="53"/>
      <c r="F30" s="52"/>
      <c r="G30" s="53"/>
      <c r="H30" s="63"/>
      <c r="I30" s="116"/>
      <c r="J30" s="3"/>
      <c r="K30" s="71"/>
      <c r="L30" s="53"/>
      <c r="M30" s="2"/>
      <c r="N30" s="1"/>
      <c r="O30" s="218">
        <f t="shared" si="1"/>
        <v>0</v>
      </c>
      <c r="P30" s="218">
        <f>O30+OCT!P30</f>
        <v>0</v>
      </c>
      <c r="Q30" s="66"/>
      <c r="R30" s="65"/>
      <c r="S30" s="68"/>
      <c r="T30" s="75"/>
      <c r="U30" s="266"/>
      <c r="V30" s="267"/>
      <c r="W30" s="6">
        <f>'CLIENT ENROLLMENT DISCHARGE '!M30</f>
        <v>0</v>
      </c>
      <c r="X30" s="76">
        <f>'CLIENT ENROLLMENT DISCHARGE '!L30</f>
        <v>0</v>
      </c>
      <c r="Y30" s="180" t="s">
        <v>0</v>
      </c>
    </row>
    <row r="31" spans="1:25" ht="50.1" customHeight="1" x14ac:dyDescent="0.25">
      <c r="A31" s="5">
        <f t="shared" si="0"/>
        <v>17</v>
      </c>
      <c r="B31" s="10">
        <f>'CLIENT ENROLLMENT DISCHARGE '!B31</f>
        <v>0</v>
      </c>
      <c r="C31" s="4">
        <f>'CLIENT ENROLLMENT DISCHARGE '!C31</f>
        <v>0</v>
      </c>
      <c r="D31" s="51"/>
      <c r="E31" s="52"/>
      <c r="F31" s="51"/>
      <c r="G31" s="52"/>
      <c r="H31" s="62"/>
      <c r="I31" s="115"/>
      <c r="J31" s="9"/>
      <c r="K31" s="70"/>
      <c r="L31" s="52"/>
      <c r="M31" s="8"/>
      <c r="N31" s="7"/>
      <c r="O31" s="218">
        <f t="shared" si="1"/>
        <v>0</v>
      </c>
      <c r="P31" s="218">
        <f>O31+OCT!P31</f>
        <v>0</v>
      </c>
      <c r="Q31" s="65"/>
      <c r="R31" s="64"/>
      <c r="S31" s="67"/>
      <c r="T31" s="74"/>
      <c r="U31" s="266"/>
      <c r="V31" s="267"/>
      <c r="W31" s="6">
        <f>'CLIENT ENROLLMENT DISCHARGE '!M31</f>
        <v>0</v>
      </c>
      <c r="X31" s="76"/>
      <c r="Y31" s="180"/>
    </row>
    <row r="32" spans="1:25" ht="50.1" customHeight="1" x14ac:dyDescent="0.25">
      <c r="A32" s="5">
        <f t="shared" si="0"/>
        <v>18</v>
      </c>
      <c r="B32" s="10">
        <f>'CLIENT ENROLLMENT DISCHARGE '!B32</f>
        <v>0</v>
      </c>
      <c r="C32" s="4">
        <f>'CLIENT ENROLLMENT DISCHARGE '!C32</f>
        <v>0</v>
      </c>
      <c r="D32" s="52"/>
      <c r="E32" s="53"/>
      <c r="F32" s="52"/>
      <c r="G32" s="53"/>
      <c r="H32" s="63"/>
      <c r="I32" s="116"/>
      <c r="J32" s="3"/>
      <c r="K32" s="71"/>
      <c r="L32" s="53"/>
      <c r="M32" s="2"/>
      <c r="N32" s="1"/>
      <c r="O32" s="218">
        <f t="shared" si="1"/>
        <v>0</v>
      </c>
      <c r="P32" s="218">
        <f>O32+OCT!P32</f>
        <v>0</v>
      </c>
      <c r="Q32" s="66"/>
      <c r="R32" s="65"/>
      <c r="S32" s="68"/>
      <c r="T32" s="59"/>
      <c r="U32" s="266"/>
      <c r="V32" s="267"/>
      <c r="W32" s="6">
        <f>'CLIENT ENROLLMENT DISCHARGE '!M32</f>
        <v>0</v>
      </c>
      <c r="X32" s="76"/>
      <c r="Y32" s="180"/>
    </row>
    <row r="33" spans="1:25" ht="50.1" customHeight="1" x14ac:dyDescent="0.25">
      <c r="A33" s="5">
        <f t="shared" si="0"/>
        <v>19</v>
      </c>
      <c r="B33" s="10">
        <f>'CLIENT ENROLLMENT DISCHARGE '!B33</f>
        <v>0</v>
      </c>
      <c r="C33" s="4">
        <f>'CLIENT ENROLLMENT DISCHARGE '!C33</f>
        <v>0</v>
      </c>
      <c r="D33" s="51"/>
      <c r="E33" s="52"/>
      <c r="F33" s="51"/>
      <c r="G33" s="52"/>
      <c r="H33" s="62"/>
      <c r="I33" s="115"/>
      <c r="J33" s="9"/>
      <c r="K33" s="70"/>
      <c r="L33" s="52"/>
      <c r="M33" s="8"/>
      <c r="N33" s="7"/>
      <c r="O33" s="218">
        <f t="shared" si="1"/>
        <v>0</v>
      </c>
      <c r="P33" s="218">
        <f>O33+OCT!P33</f>
        <v>0</v>
      </c>
      <c r="Q33" s="65"/>
      <c r="R33" s="64"/>
      <c r="S33" s="67"/>
      <c r="T33" s="74"/>
      <c r="U33" s="266"/>
      <c r="V33" s="267"/>
      <c r="W33" s="6">
        <f>'CLIENT ENROLLMENT DISCHARGE '!M33</f>
        <v>0</v>
      </c>
      <c r="X33" s="76"/>
      <c r="Y33" s="180"/>
    </row>
    <row r="34" spans="1:25" ht="50.1" customHeight="1" x14ac:dyDescent="0.25">
      <c r="A34" s="5">
        <f t="shared" si="0"/>
        <v>20</v>
      </c>
      <c r="B34" s="10">
        <f>'CLIENT ENROLLMENT DISCHARGE '!B34</f>
        <v>0</v>
      </c>
      <c r="C34" s="4">
        <f>'CLIENT ENROLLMENT DISCHARGE '!C34</f>
        <v>0</v>
      </c>
      <c r="D34" s="52"/>
      <c r="E34" s="53"/>
      <c r="F34" s="52"/>
      <c r="G34" s="53"/>
      <c r="H34" s="63"/>
      <c r="I34" s="116"/>
      <c r="J34" s="144"/>
      <c r="K34" s="71"/>
      <c r="L34" s="53"/>
      <c r="M34" s="2"/>
      <c r="N34" s="1"/>
      <c r="O34" s="218">
        <f t="shared" si="1"/>
        <v>0</v>
      </c>
      <c r="P34" s="218">
        <f>O34+OCT!P34</f>
        <v>0</v>
      </c>
      <c r="Q34" s="66"/>
      <c r="R34" s="65"/>
      <c r="S34" s="68"/>
      <c r="T34" s="59"/>
      <c r="U34" s="266"/>
      <c r="V34" s="267"/>
      <c r="W34" s="6">
        <f>'CLIENT ENROLLMENT DISCHARGE '!M34</f>
        <v>0</v>
      </c>
      <c r="X34" s="76"/>
      <c r="Y34" s="180"/>
    </row>
    <row r="35" spans="1:25" ht="50.1" customHeight="1" x14ac:dyDescent="0.25">
      <c r="A35" s="5">
        <f t="shared" si="0"/>
        <v>21</v>
      </c>
      <c r="B35" s="10">
        <f>'CLIENT ENROLLMENT DISCHARGE '!B35</f>
        <v>0</v>
      </c>
      <c r="C35" s="4">
        <f>'CLIENT ENROLLMENT DISCHARGE '!C35</f>
        <v>0</v>
      </c>
      <c r="D35" s="51"/>
      <c r="E35" s="52"/>
      <c r="F35" s="51"/>
      <c r="G35" s="52"/>
      <c r="H35" s="62"/>
      <c r="I35" s="115"/>
      <c r="J35" s="9"/>
      <c r="K35" s="70"/>
      <c r="L35" s="52"/>
      <c r="M35" s="8"/>
      <c r="N35" s="7"/>
      <c r="O35" s="218">
        <f t="shared" si="1"/>
        <v>0</v>
      </c>
      <c r="P35" s="218">
        <f>O35+OCT!P35</f>
        <v>0</v>
      </c>
      <c r="Q35" s="65"/>
      <c r="R35" s="64"/>
      <c r="S35" s="67"/>
      <c r="T35" s="74"/>
      <c r="U35" s="266"/>
      <c r="V35" s="267"/>
      <c r="W35" s="6">
        <f>'CLIENT ENROLLMENT DISCHARGE '!M35</f>
        <v>0</v>
      </c>
      <c r="X35" s="76"/>
      <c r="Y35" s="180"/>
    </row>
    <row r="36" spans="1:25" ht="50.1" customHeight="1" x14ac:dyDescent="0.25">
      <c r="A36" s="5">
        <f t="shared" si="0"/>
        <v>22</v>
      </c>
      <c r="B36" s="10">
        <f>'CLIENT ENROLLMENT DISCHARGE '!B36</f>
        <v>0</v>
      </c>
      <c r="C36" s="4">
        <f>'CLIENT ENROLLMENT DISCHARGE '!C36</f>
        <v>0</v>
      </c>
      <c r="D36" s="52"/>
      <c r="E36" s="53"/>
      <c r="F36" s="52"/>
      <c r="G36" s="53"/>
      <c r="H36" s="63"/>
      <c r="I36" s="116"/>
      <c r="J36" s="3"/>
      <c r="K36" s="71"/>
      <c r="L36" s="53"/>
      <c r="M36" s="2"/>
      <c r="N36" s="1"/>
      <c r="O36" s="218">
        <f t="shared" si="1"/>
        <v>0</v>
      </c>
      <c r="P36" s="218">
        <f>O36+OCT!P36</f>
        <v>0</v>
      </c>
      <c r="Q36" s="66"/>
      <c r="R36" s="65"/>
      <c r="S36" s="68"/>
      <c r="T36" s="59"/>
      <c r="U36" s="266"/>
      <c r="V36" s="267"/>
      <c r="W36" s="6">
        <f>'CLIENT ENROLLMENT DISCHARGE '!M36</f>
        <v>0</v>
      </c>
      <c r="X36" s="76"/>
      <c r="Y36" s="180"/>
    </row>
    <row r="37" spans="1:25" ht="50.1" customHeight="1" x14ac:dyDescent="0.25">
      <c r="A37" s="5">
        <f t="shared" si="0"/>
        <v>23</v>
      </c>
      <c r="B37" s="10">
        <f>'CLIENT ENROLLMENT DISCHARGE '!B37</f>
        <v>0</v>
      </c>
      <c r="C37" s="4">
        <f>'CLIENT ENROLLMENT DISCHARGE '!C37</f>
        <v>0</v>
      </c>
      <c r="D37" s="51"/>
      <c r="E37" s="52"/>
      <c r="F37" s="51"/>
      <c r="G37" s="52"/>
      <c r="H37" s="62"/>
      <c r="I37" s="115"/>
      <c r="J37" s="9"/>
      <c r="K37" s="70"/>
      <c r="L37" s="52"/>
      <c r="M37" s="8"/>
      <c r="N37" s="7"/>
      <c r="O37" s="218">
        <f t="shared" si="1"/>
        <v>0</v>
      </c>
      <c r="P37" s="218">
        <f>O37+OCT!P37</f>
        <v>0</v>
      </c>
      <c r="Q37" s="65"/>
      <c r="R37" s="64"/>
      <c r="S37" s="67"/>
      <c r="T37" s="74"/>
      <c r="U37" s="266"/>
      <c r="V37" s="267"/>
      <c r="W37" s="6">
        <f>'CLIENT ENROLLMENT DISCHARGE '!M37</f>
        <v>0</v>
      </c>
      <c r="X37" s="76"/>
      <c r="Y37" s="180"/>
    </row>
    <row r="38" spans="1:25" ht="50.1" customHeight="1" x14ac:dyDescent="0.25">
      <c r="A38" s="5">
        <f t="shared" si="0"/>
        <v>24</v>
      </c>
      <c r="B38" s="10">
        <f>'CLIENT ENROLLMENT DISCHARGE '!B38</f>
        <v>0</v>
      </c>
      <c r="C38" s="4">
        <f>'CLIENT ENROLLMENT DISCHARGE '!C38</f>
        <v>0</v>
      </c>
      <c r="D38" s="52"/>
      <c r="E38" s="53"/>
      <c r="F38" s="52"/>
      <c r="G38" s="53"/>
      <c r="H38" s="63"/>
      <c r="I38" s="116"/>
      <c r="J38" s="3"/>
      <c r="K38" s="71"/>
      <c r="L38" s="53"/>
      <c r="M38" s="2"/>
      <c r="N38" s="1"/>
      <c r="O38" s="218">
        <f t="shared" si="1"/>
        <v>0</v>
      </c>
      <c r="P38" s="218">
        <f>O38+OCT!P38</f>
        <v>0</v>
      </c>
      <c r="Q38" s="66"/>
      <c r="R38" s="65"/>
      <c r="S38" s="68"/>
      <c r="T38" s="59"/>
      <c r="U38" s="266"/>
      <c r="V38" s="267"/>
      <c r="W38" s="6">
        <f>'CLIENT ENROLLMENT DISCHARGE '!M38</f>
        <v>0</v>
      </c>
      <c r="X38" s="76"/>
      <c r="Y38" s="180"/>
    </row>
    <row r="39" spans="1:25" ht="50.1" customHeight="1" x14ac:dyDescent="0.25">
      <c r="A39" s="5">
        <f t="shared" si="0"/>
        <v>25</v>
      </c>
      <c r="B39" s="10">
        <f>'CLIENT ENROLLMENT DISCHARGE '!B39</f>
        <v>0</v>
      </c>
      <c r="C39" s="4">
        <f>'CLIENT ENROLLMENT DISCHARGE '!C39</f>
        <v>0</v>
      </c>
      <c r="D39" s="51"/>
      <c r="E39" s="52"/>
      <c r="F39" s="51"/>
      <c r="G39" s="52"/>
      <c r="H39" s="62"/>
      <c r="I39" s="115"/>
      <c r="J39" s="9"/>
      <c r="K39" s="70"/>
      <c r="L39" s="52"/>
      <c r="M39" s="8"/>
      <c r="N39" s="7"/>
      <c r="O39" s="218">
        <f t="shared" si="1"/>
        <v>0</v>
      </c>
      <c r="P39" s="218">
        <f>O39+OCT!P39</f>
        <v>0</v>
      </c>
      <c r="Q39" s="65"/>
      <c r="R39" s="64"/>
      <c r="S39" s="67"/>
      <c r="T39" s="74"/>
      <c r="U39" s="266"/>
      <c r="V39" s="267"/>
      <c r="W39" s="6">
        <f>'CLIENT ENROLLMENT DISCHARGE '!M39</f>
        <v>0</v>
      </c>
      <c r="X39" s="76"/>
      <c r="Y39" s="180"/>
    </row>
    <row r="40" spans="1:25" ht="50.1" customHeight="1" x14ac:dyDescent="0.25">
      <c r="A40" s="5">
        <f t="shared" si="0"/>
        <v>26</v>
      </c>
      <c r="B40" s="10">
        <f>'CLIENT ENROLLMENT DISCHARGE '!B40</f>
        <v>0</v>
      </c>
      <c r="C40" s="4">
        <f>'CLIENT ENROLLMENT DISCHARGE '!C40</f>
        <v>0</v>
      </c>
      <c r="D40" s="52"/>
      <c r="E40" s="53"/>
      <c r="F40" s="52"/>
      <c r="G40" s="53"/>
      <c r="H40" s="63"/>
      <c r="I40" s="116"/>
      <c r="J40" s="3"/>
      <c r="K40" s="71"/>
      <c r="L40" s="53"/>
      <c r="M40" s="2"/>
      <c r="N40" s="1"/>
      <c r="O40" s="218">
        <f t="shared" si="1"/>
        <v>0</v>
      </c>
      <c r="P40" s="218">
        <f>O40+OCT!P40</f>
        <v>0</v>
      </c>
      <c r="Q40" s="66"/>
      <c r="R40" s="65"/>
      <c r="S40" s="68"/>
      <c r="T40" s="75"/>
      <c r="U40" s="266"/>
      <c r="V40" s="267"/>
      <c r="W40" s="6">
        <f>'CLIENT ENROLLMENT DISCHARGE '!M40</f>
        <v>0</v>
      </c>
      <c r="X40" s="76"/>
      <c r="Y40" s="180"/>
    </row>
    <row r="41" spans="1:25" ht="50.1" customHeight="1" x14ac:dyDescent="0.25">
      <c r="A41" s="5">
        <f t="shared" si="0"/>
        <v>27</v>
      </c>
      <c r="B41" s="10">
        <f>'CLIENT ENROLLMENT DISCHARGE '!B41</f>
        <v>0</v>
      </c>
      <c r="C41" s="4">
        <f>'CLIENT ENROLLMENT DISCHARGE '!C41</f>
        <v>0</v>
      </c>
      <c r="D41" s="51"/>
      <c r="E41" s="52"/>
      <c r="F41" s="51"/>
      <c r="G41" s="52"/>
      <c r="H41" s="62"/>
      <c r="I41" s="115"/>
      <c r="J41" s="9"/>
      <c r="K41" s="70"/>
      <c r="L41" s="52"/>
      <c r="M41" s="8"/>
      <c r="N41" s="7"/>
      <c r="O41" s="218">
        <f t="shared" si="1"/>
        <v>0</v>
      </c>
      <c r="P41" s="218">
        <f>O41+OCT!P41</f>
        <v>0</v>
      </c>
      <c r="Q41" s="65"/>
      <c r="R41" s="64"/>
      <c r="S41" s="67"/>
      <c r="T41" s="74"/>
      <c r="U41" s="266"/>
      <c r="V41" s="267"/>
      <c r="W41" s="6">
        <f>'CLIENT ENROLLMENT DISCHARGE '!M41</f>
        <v>0</v>
      </c>
      <c r="X41" s="76"/>
      <c r="Y41" s="180"/>
    </row>
    <row r="42" spans="1:25" ht="50.1" customHeight="1" x14ac:dyDescent="0.25">
      <c r="A42" s="5">
        <f t="shared" si="0"/>
        <v>28</v>
      </c>
      <c r="B42" s="10">
        <f>'CLIENT ENROLLMENT DISCHARGE '!B42</f>
        <v>0</v>
      </c>
      <c r="C42" s="4">
        <f>'CLIENT ENROLLMENT DISCHARGE '!C42</f>
        <v>0</v>
      </c>
      <c r="D42" s="52"/>
      <c r="E42" s="53"/>
      <c r="F42" s="52"/>
      <c r="G42" s="53"/>
      <c r="H42" s="63"/>
      <c r="I42" s="116"/>
      <c r="J42" s="3"/>
      <c r="K42" s="71"/>
      <c r="L42" s="53"/>
      <c r="M42" s="2"/>
      <c r="N42" s="1"/>
      <c r="O42" s="218">
        <f t="shared" si="1"/>
        <v>0</v>
      </c>
      <c r="P42" s="218">
        <f>O42+OCT!P42</f>
        <v>0</v>
      </c>
      <c r="Q42" s="66"/>
      <c r="R42" s="65"/>
      <c r="S42" s="68"/>
      <c r="T42" s="59"/>
      <c r="U42" s="266"/>
      <c r="V42" s="267"/>
      <c r="W42" s="6">
        <f>'CLIENT ENROLLMENT DISCHARGE '!M42</f>
        <v>0</v>
      </c>
      <c r="X42" s="76"/>
      <c r="Y42" s="180"/>
    </row>
    <row r="43" spans="1:25" ht="50.1" customHeight="1" x14ac:dyDescent="0.25">
      <c r="A43" s="5">
        <f t="shared" si="0"/>
        <v>29</v>
      </c>
      <c r="B43" s="10">
        <f>'CLIENT ENROLLMENT DISCHARGE '!B43</f>
        <v>0</v>
      </c>
      <c r="C43" s="4">
        <f>'CLIENT ENROLLMENT DISCHARGE '!C43</f>
        <v>0</v>
      </c>
      <c r="D43" s="51"/>
      <c r="E43" s="52"/>
      <c r="F43" s="51"/>
      <c r="G43" s="52"/>
      <c r="H43" s="62"/>
      <c r="I43" s="115"/>
      <c r="J43" s="9"/>
      <c r="K43" s="70"/>
      <c r="L43" s="52"/>
      <c r="M43" s="8"/>
      <c r="N43" s="7"/>
      <c r="O43" s="218">
        <f t="shared" si="1"/>
        <v>0</v>
      </c>
      <c r="P43" s="218">
        <f>O43+OCT!P43</f>
        <v>0</v>
      </c>
      <c r="Q43" s="65"/>
      <c r="R43" s="64"/>
      <c r="S43" s="67"/>
      <c r="T43" s="74"/>
      <c r="U43" s="266"/>
      <c r="V43" s="267"/>
      <c r="W43" s="6">
        <f>'CLIENT ENROLLMENT DISCHARGE '!M43</f>
        <v>0</v>
      </c>
      <c r="X43" s="76"/>
      <c r="Y43" s="180"/>
    </row>
    <row r="44" spans="1:25" ht="50.1" customHeight="1" x14ac:dyDescent="0.25">
      <c r="A44" s="5">
        <f t="shared" si="0"/>
        <v>30</v>
      </c>
      <c r="B44" s="10">
        <f>'CLIENT ENROLLMENT DISCHARGE '!B44</f>
        <v>0</v>
      </c>
      <c r="C44" s="4">
        <f>'CLIENT ENROLLMENT DISCHARGE '!C44</f>
        <v>0</v>
      </c>
      <c r="D44" s="52"/>
      <c r="E44" s="53"/>
      <c r="F44" s="52"/>
      <c r="G44" s="53"/>
      <c r="H44" s="63"/>
      <c r="I44" s="116"/>
      <c r="J44" s="3"/>
      <c r="K44" s="71"/>
      <c r="L44" s="53"/>
      <c r="M44" s="2"/>
      <c r="N44" s="1"/>
      <c r="O44" s="218">
        <f t="shared" si="1"/>
        <v>0</v>
      </c>
      <c r="P44" s="218">
        <f>O44+OCT!P44</f>
        <v>0</v>
      </c>
      <c r="Q44" s="66"/>
      <c r="R44" s="65"/>
      <c r="S44" s="68"/>
      <c r="T44" s="59"/>
      <c r="U44" s="266"/>
      <c r="V44" s="267"/>
      <c r="W44" s="6">
        <f>'CLIENT ENROLLMENT DISCHARGE '!M44</f>
        <v>0</v>
      </c>
      <c r="X44" s="76"/>
      <c r="Y44" s="180"/>
    </row>
    <row r="45" spans="1:25" ht="50.1" customHeight="1" x14ac:dyDescent="0.25">
      <c r="A45" s="5">
        <f t="shared" si="0"/>
        <v>31</v>
      </c>
      <c r="B45" s="10">
        <f>'CLIENT ENROLLMENT DISCHARGE '!B45</f>
        <v>0</v>
      </c>
      <c r="C45" s="4">
        <f>'CLIENT ENROLLMENT DISCHARGE '!C45</f>
        <v>0</v>
      </c>
      <c r="D45" s="51"/>
      <c r="E45" s="52"/>
      <c r="F45" s="51"/>
      <c r="G45" s="52"/>
      <c r="H45" s="62"/>
      <c r="I45" s="115"/>
      <c r="J45" s="9"/>
      <c r="K45" s="70"/>
      <c r="L45" s="52"/>
      <c r="M45" s="8"/>
      <c r="N45" s="7"/>
      <c r="O45" s="218">
        <f t="shared" si="1"/>
        <v>0</v>
      </c>
      <c r="P45" s="218">
        <f>O45+OCT!P45</f>
        <v>0</v>
      </c>
      <c r="Q45" s="59"/>
      <c r="R45" s="51"/>
      <c r="S45" s="65"/>
      <c r="T45" s="64"/>
      <c r="U45" s="67"/>
      <c r="V45" s="74"/>
      <c r="W45" s="6">
        <f>'CLIENT ENROLLMENT DISCHARGE '!M45</f>
        <v>0</v>
      </c>
      <c r="X45" s="76"/>
      <c r="Y45" s="180"/>
    </row>
    <row r="46" spans="1:25" ht="50.1" customHeight="1" x14ac:dyDescent="0.25">
      <c r="A46" s="5">
        <f t="shared" si="0"/>
        <v>32</v>
      </c>
      <c r="B46" s="10">
        <f>'CLIENT ENROLLMENT DISCHARGE '!B46</f>
        <v>0</v>
      </c>
      <c r="C46" s="4">
        <f>'CLIENT ENROLLMENT DISCHARGE '!C46</f>
        <v>0</v>
      </c>
      <c r="D46" s="52"/>
      <c r="E46" s="53"/>
      <c r="F46" s="52"/>
      <c r="G46" s="53"/>
      <c r="H46" s="63"/>
      <c r="I46" s="116"/>
      <c r="J46" s="3"/>
      <c r="K46" s="71"/>
      <c r="L46" s="53"/>
      <c r="M46" s="2"/>
      <c r="N46" s="1"/>
      <c r="O46" s="218">
        <f t="shared" si="1"/>
        <v>0</v>
      </c>
      <c r="P46" s="218">
        <f>O46+OCT!P46</f>
        <v>0</v>
      </c>
      <c r="Q46" s="60"/>
      <c r="R46" s="52"/>
      <c r="S46" s="66"/>
      <c r="T46" s="65"/>
      <c r="U46" s="68"/>
      <c r="V46" s="59"/>
      <c r="W46" s="6">
        <f>'CLIENT ENROLLMENT DISCHARGE '!M46</f>
        <v>0</v>
      </c>
      <c r="X46" s="76"/>
      <c r="Y46" s="180"/>
    </row>
    <row r="47" spans="1:25" ht="50.1" customHeight="1" x14ac:dyDescent="0.25">
      <c r="A47" s="5">
        <f t="shared" si="0"/>
        <v>33</v>
      </c>
      <c r="B47" s="10">
        <f>'CLIENT ENROLLMENT DISCHARGE '!B47</f>
        <v>0</v>
      </c>
      <c r="C47" s="4">
        <f>'CLIENT ENROLLMENT DISCHARGE '!C47</f>
        <v>0</v>
      </c>
      <c r="D47" s="51"/>
      <c r="E47" s="52"/>
      <c r="F47" s="51"/>
      <c r="G47" s="52"/>
      <c r="H47" s="62"/>
      <c r="I47" s="115"/>
      <c r="J47" s="9"/>
      <c r="K47" s="70"/>
      <c r="L47" s="52"/>
      <c r="M47" s="8"/>
      <c r="N47" s="7"/>
      <c r="O47" s="218">
        <f t="shared" si="1"/>
        <v>0</v>
      </c>
      <c r="P47" s="218">
        <f>O47+OCT!P47</f>
        <v>0</v>
      </c>
      <c r="Q47" s="59"/>
      <c r="R47" s="51"/>
      <c r="S47" s="65"/>
      <c r="T47" s="64"/>
      <c r="U47" s="67"/>
      <c r="V47" s="74"/>
      <c r="W47" s="6">
        <f>'CLIENT ENROLLMENT DISCHARGE '!M47</f>
        <v>0</v>
      </c>
      <c r="X47" s="76"/>
      <c r="Y47" s="180"/>
    </row>
    <row r="48" spans="1:25" ht="50.1" customHeight="1" x14ac:dyDescent="0.25">
      <c r="A48" s="5">
        <f t="shared" si="0"/>
        <v>34</v>
      </c>
      <c r="B48" s="10">
        <f>'CLIENT ENROLLMENT DISCHARGE '!B48</f>
        <v>0</v>
      </c>
      <c r="C48" s="4">
        <f>'CLIENT ENROLLMENT DISCHARGE '!C48</f>
        <v>0</v>
      </c>
      <c r="D48" s="52"/>
      <c r="E48" s="53"/>
      <c r="F48" s="52"/>
      <c r="G48" s="53"/>
      <c r="H48" s="63"/>
      <c r="I48" s="116"/>
      <c r="J48" s="3"/>
      <c r="K48" s="71"/>
      <c r="L48" s="53"/>
      <c r="M48" s="2"/>
      <c r="N48" s="1"/>
      <c r="O48" s="218">
        <f t="shared" si="1"/>
        <v>0</v>
      </c>
      <c r="P48" s="218">
        <f>O48+OCT!P48</f>
        <v>0</v>
      </c>
      <c r="Q48" s="60"/>
      <c r="R48" s="52"/>
      <c r="S48" s="66"/>
      <c r="T48" s="65"/>
      <c r="U48" s="68"/>
      <c r="V48" s="59"/>
      <c r="W48" s="6">
        <f>'CLIENT ENROLLMENT DISCHARGE '!M48</f>
        <v>0</v>
      </c>
      <c r="X48" s="76"/>
      <c r="Y48" s="180"/>
    </row>
    <row r="49" spans="1:25" ht="50.1" customHeight="1" x14ac:dyDescent="0.25">
      <c r="A49" s="5">
        <f t="shared" si="0"/>
        <v>35</v>
      </c>
      <c r="B49" s="10">
        <f>'CLIENT ENROLLMENT DISCHARGE '!B49</f>
        <v>0</v>
      </c>
      <c r="C49" s="4">
        <f>'CLIENT ENROLLMENT DISCHARGE '!C49</f>
        <v>0</v>
      </c>
      <c r="D49" s="51"/>
      <c r="E49" s="52"/>
      <c r="F49" s="51"/>
      <c r="G49" s="52"/>
      <c r="H49" s="62"/>
      <c r="I49" s="115"/>
      <c r="J49" s="9"/>
      <c r="K49" s="70"/>
      <c r="L49" s="52"/>
      <c r="M49" s="8"/>
      <c r="N49" s="7"/>
      <c r="O49" s="218">
        <f t="shared" si="1"/>
        <v>0</v>
      </c>
      <c r="P49" s="218">
        <f>O49+OCT!P49</f>
        <v>0</v>
      </c>
      <c r="Q49" s="59"/>
      <c r="R49" s="51"/>
      <c r="S49" s="65"/>
      <c r="T49" s="64"/>
      <c r="U49" s="67"/>
      <c r="V49" s="74"/>
      <c r="W49" s="6">
        <f>'CLIENT ENROLLMENT DISCHARGE '!M49</f>
        <v>0</v>
      </c>
      <c r="X49" s="76"/>
      <c r="Y49" s="180"/>
    </row>
    <row r="50" spans="1:25" ht="50.1" customHeight="1" x14ac:dyDescent="0.25">
      <c r="A50" s="5">
        <f t="shared" si="0"/>
        <v>36</v>
      </c>
      <c r="B50" s="10">
        <f>'CLIENT ENROLLMENT DISCHARGE '!B50</f>
        <v>0</v>
      </c>
      <c r="C50" s="4">
        <f>'CLIENT ENROLLMENT DISCHARGE '!C50</f>
        <v>0</v>
      </c>
      <c r="D50" s="52"/>
      <c r="E50" s="53"/>
      <c r="F50" s="52"/>
      <c r="G50" s="53"/>
      <c r="H50" s="63"/>
      <c r="I50" s="116"/>
      <c r="J50" s="3"/>
      <c r="K50" s="71"/>
      <c r="L50" s="53"/>
      <c r="M50" s="2"/>
      <c r="N50" s="1"/>
      <c r="O50" s="218">
        <f t="shared" si="1"/>
        <v>0</v>
      </c>
      <c r="P50" s="218">
        <f>O50+OCT!P50</f>
        <v>0</v>
      </c>
      <c r="Q50" s="60"/>
      <c r="R50" s="52"/>
      <c r="S50" s="66"/>
      <c r="T50" s="65"/>
      <c r="U50" s="68"/>
      <c r="V50" s="75"/>
      <c r="W50" s="6">
        <f>'CLIENT ENROLLMENT DISCHARGE '!M50</f>
        <v>0</v>
      </c>
      <c r="X50" s="76"/>
      <c r="Y50" s="180"/>
    </row>
    <row r="51" spans="1:25" ht="50.1" customHeight="1" x14ac:dyDescent="0.25">
      <c r="A51" s="5">
        <f t="shared" si="0"/>
        <v>37</v>
      </c>
      <c r="B51" s="10">
        <f>'CLIENT ENROLLMENT DISCHARGE '!B51</f>
        <v>0</v>
      </c>
      <c r="C51" s="4">
        <f>'CLIENT ENROLLMENT DISCHARGE '!C51</f>
        <v>0</v>
      </c>
      <c r="D51" s="51"/>
      <c r="E51" s="52"/>
      <c r="F51" s="51"/>
      <c r="G51" s="52"/>
      <c r="H51" s="62"/>
      <c r="I51" s="115"/>
      <c r="J51" s="9"/>
      <c r="K51" s="70"/>
      <c r="L51" s="52"/>
      <c r="M51" s="8"/>
      <c r="N51" s="7"/>
      <c r="O51" s="218">
        <f t="shared" si="1"/>
        <v>0</v>
      </c>
      <c r="P51" s="218">
        <f>O51+OCT!P51</f>
        <v>0</v>
      </c>
      <c r="Q51" s="59"/>
      <c r="R51" s="51"/>
      <c r="S51" s="65"/>
      <c r="T51" s="64"/>
      <c r="U51" s="67"/>
      <c r="V51" s="74"/>
      <c r="W51" s="6">
        <f>'CLIENT ENROLLMENT DISCHARGE '!M51</f>
        <v>0</v>
      </c>
      <c r="X51" s="76"/>
      <c r="Y51" s="180"/>
    </row>
    <row r="52" spans="1:25" ht="50.1" customHeight="1" x14ac:dyDescent="0.25">
      <c r="A52" s="5">
        <f t="shared" si="0"/>
        <v>38</v>
      </c>
      <c r="B52" s="10">
        <f>'CLIENT ENROLLMENT DISCHARGE '!B52</f>
        <v>0</v>
      </c>
      <c r="C52" s="4">
        <f>'CLIENT ENROLLMENT DISCHARGE '!C52</f>
        <v>0</v>
      </c>
      <c r="D52" s="52"/>
      <c r="E52" s="53"/>
      <c r="F52" s="52"/>
      <c r="G52" s="53"/>
      <c r="H52" s="63"/>
      <c r="I52" s="116"/>
      <c r="J52" s="3"/>
      <c r="K52" s="71"/>
      <c r="L52" s="53"/>
      <c r="M52" s="2"/>
      <c r="N52" s="1"/>
      <c r="O52" s="218">
        <f t="shared" si="1"/>
        <v>0</v>
      </c>
      <c r="P52" s="218">
        <f>O52+OCT!P52</f>
        <v>0</v>
      </c>
      <c r="Q52" s="60"/>
      <c r="R52" s="52"/>
      <c r="S52" s="66"/>
      <c r="T52" s="65"/>
      <c r="U52" s="68"/>
      <c r="V52" s="59"/>
      <c r="W52" s="6">
        <f>'CLIENT ENROLLMENT DISCHARGE '!M52</f>
        <v>0</v>
      </c>
      <c r="X52" s="76"/>
      <c r="Y52" s="180"/>
    </row>
    <row r="53" spans="1:25" ht="50.1" customHeight="1" x14ac:dyDescent="0.25">
      <c r="A53" s="5">
        <f t="shared" si="0"/>
        <v>39</v>
      </c>
      <c r="B53" s="10">
        <f>'CLIENT ENROLLMENT DISCHARGE '!B53</f>
        <v>0</v>
      </c>
      <c r="C53" s="4">
        <f>'CLIENT ENROLLMENT DISCHARGE '!C53</f>
        <v>0</v>
      </c>
      <c r="D53" s="51"/>
      <c r="E53" s="52"/>
      <c r="F53" s="51"/>
      <c r="G53" s="52"/>
      <c r="H53" s="62"/>
      <c r="I53" s="115"/>
      <c r="J53" s="9"/>
      <c r="K53" s="70"/>
      <c r="L53" s="52"/>
      <c r="M53" s="8"/>
      <c r="N53" s="7"/>
      <c r="O53" s="218">
        <f t="shared" si="1"/>
        <v>0</v>
      </c>
      <c r="P53" s="218">
        <f>O53+OCT!P53</f>
        <v>0</v>
      </c>
      <c r="Q53" s="59"/>
      <c r="R53" s="51"/>
      <c r="S53" s="65"/>
      <c r="T53" s="64"/>
      <c r="U53" s="67"/>
      <c r="V53" s="74"/>
      <c r="W53" s="6">
        <f>'CLIENT ENROLLMENT DISCHARGE '!M53</f>
        <v>0</v>
      </c>
      <c r="X53" s="76"/>
      <c r="Y53" s="180"/>
    </row>
    <row r="54" spans="1:25" ht="50.1" customHeight="1" x14ac:dyDescent="0.25">
      <c r="A54" s="5">
        <f t="shared" si="0"/>
        <v>40</v>
      </c>
      <c r="B54" s="10">
        <f>'CLIENT ENROLLMENT DISCHARGE '!B54</f>
        <v>0</v>
      </c>
      <c r="C54" s="4">
        <f>'CLIENT ENROLLMENT DISCHARGE '!C54</f>
        <v>0</v>
      </c>
      <c r="D54" s="52"/>
      <c r="E54" s="53"/>
      <c r="F54" s="52"/>
      <c r="G54" s="53"/>
      <c r="H54" s="63"/>
      <c r="I54" s="116"/>
      <c r="J54" s="3"/>
      <c r="K54" s="71"/>
      <c r="L54" s="53"/>
      <c r="M54" s="2"/>
      <c r="N54" s="1"/>
      <c r="O54" s="218">
        <f t="shared" si="1"/>
        <v>0</v>
      </c>
      <c r="P54" s="218">
        <f>O54+OCT!P54</f>
        <v>0</v>
      </c>
      <c r="Q54" s="60"/>
      <c r="R54" s="52"/>
      <c r="S54" s="66"/>
      <c r="T54" s="65"/>
      <c r="U54" s="68"/>
      <c r="V54" s="59"/>
      <c r="W54" s="6">
        <f>'CLIENT ENROLLMENT DISCHARGE '!M54</f>
        <v>0</v>
      </c>
      <c r="X54" s="76"/>
      <c r="Y54" s="180"/>
    </row>
    <row r="55" spans="1:25" ht="50.1" customHeight="1" x14ac:dyDescent="0.25">
      <c r="A55" s="5">
        <f t="shared" si="0"/>
        <v>41</v>
      </c>
      <c r="B55" s="10">
        <f>'CLIENT ENROLLMENT DISCHARGE '!B55</f>
        <v>0</v>
      </c>
      <c r="C55" s="4">
        <f>'CLIENT ENROLLMENT DISCHARGE '!C55</f>
        <v>0</v>
      </c>
      <c r="D55" s="51"/>
      <c r="E55" s="52"/>
      <c r="F55" s="51"/>
      <c r="G55" s="52"/>
      <c r="H55" s="62"/>
      <c r="I55" s="115"/>
      <c r="J55" s="9"/>
      <c r="K55" s="70"/>
      <c r="L55" s="52"/>
      <c r="M55" s="8"/>
      <c r="N55" s="7"/>
      <c r="O55" s="218">
        <f t="shared" si="1"/>
        <v>0</v>
      </c>
      <c r="P55" s="218">
        <f>O55+OCT!P55</f>
        <v>0</v>
      </c>
      <c r="Q55" s="59"/>
      <c r="R55" s="51"/>
      <c r="S55" s="65"/>
      <c r="T55" s="64"/>
      <c r="U55" s="67"/>
      <c r="V55" s="74"/>
      <c r="W55" s="6">
        <f>'CLIENT ENROLLMENT DISCHARGE '!M55</f>
        <v>0</v>
      </c>
      <c r="X55" s="76"/>
      <c r="Y55" s="180"/>
    </row>
    <row r="56" spans="1:25" ht="50.1" customHeight="1" x14ac:dyDescent="0.25">
      <c r="A56" s="5">
        <f t="shared" si="0"/>
        <v>42</v>
      </c>
      <c r="B56" s="10">
        <f>'CLIENT ENROLLMENT DISCHARGE '!B56</f>
        <v>0</v>
      </c>
      <c r="C56" s="4">
        <f>'CLIENT ENROLLMENT DISCHARGE '!C56</f>
        <v>0</v>
      </c>
      <c r="D56" s="52"/>
      <c r="E56" s="53"/>
      <c r="F56" s="52"/>
      <c r="G56" s="53"/>
      <c r="H56" s="63"/>
      <c r="I56" s="116"/>
      <c r="J56" s="3"/>
      <c r="K56" s="71"/>
      <c r="L56" s="53"/>
      <c r="M56" s="2"/>
      <c r="N56" s="1"/>
      <c r="O56" s="218">
        <f t="shared" si="1"/>
        <v>0</v>
      </c>
      <c r="P56" s="218">
        <f>O56+OCT!P56</f>
        <v>0</v>
      </c>
      <c r="Q56" s="60"/>
      <c r="R56" s="52"/>
      <c r="S56" s="66"/>
      <c r="T56" s="65"/>
      <c r="U56" s="68"/>
      <c r="V56" s="59"/>
      <c r="W56" s="6">
        <f>'CLIENT ENROLLMENT DISCHARGE '!M56</f>
        <v>0</v>
      </c>
      <c r="X56" s="76"/>
      <c r="Y56" s="180"/>
    </row>
    <row r="57" spans="1:25" ht="50.1" customHeight="1" x14ac:dyDescent="0.25">
      <c r="A57" s="5">
        <f t="shared" si="0"/>
        <v>43</v>
      </c>
      <c r="B57" s="10">
        <f>'CLIENT ENROLLMENT DISCHARGE '!B57</f>
        <v>0</v>
      </c>
      <c r="C57" s="4">
        <f>'CLIENT ENROLLMENT DISCHARGE '!C57</f>
        <v>0</v>
      </c>
      <c r="D57" s="51"/>
      <c r="E57" s="52"/>
      <c r="F57" s="51"/>
      <c r="G57" s="52"/>
      <c r="H57" s="62"/>
      <c r="I57" s="115"/>
      <c r="J57" s="9"/>
      <c r="K57" s="70"/>
      <c r="L57" s="52"/>
      <c r="M57" s="8"/>
      <c r="N57" s="7"/>
      <c r="O57" s="218">
        <f t="shared" si="1"/>
        <v>0</v>
      </c>
      <c r="P57" s="218">
        <f>O57+OCT!P57</f>
        <v>0</v>
      </c>
      <c r="Q57" s="59"/>
      <c r="R57" s="51"/>
      <c r="S57" s="65"/>
      <c r="T57" s="64"/>
      <c r="U57" s="67"/>
      <c r="V57" s="74"/>
      <c r="W57" s="6">
        <f>'CLIENT ENROLLMENT DISCHARGE '!M57</f>
        <v>0</v>
      </c>
      <c r="X57" s="76"/>
      <c r="Y57" s="180"/>
    </row>
    <row r="58" spans="1:25" ht="50.1" customHeight="1" x14ac:dyDescent="0.25">
      <c r="A58" s="5">
        <f t="shared" si="0"/>
        <v>44</v>
      </c>
      <c r="B58" s="10">
        <f>'CLIENT ENROLLMENT DISCHARGE '!B58</f>
        <v>0</v>
      </c>
      <c r="C58" s="4">
        <f>'CLIENT ENROLLMENT DISCHARGE '!C58</f>
        <v>0</v>
      </c>
      <c r="D58" s="52"/>
      <c r="E58" s="53"/>
      <c r="F58" s="52"/>
      <c r="G58" s="53"/>
      <c r="H58" s="63"/>
      <c r="I58" s="116"/>
      <c r="J58" s="3"/>
      <c r="K58" s="71"/>
      <c r="L58" s="53"/>
      <c r="M58" s="2"/>
      <c r="N58" s="1"/>
      <c r="O58" s="218">
        <f t="shared" si="1"/>
        <v>0</v>
      </c>
      <c r="P58" s="218">
        <f>O58+OCT!P58</f>
        <v>0</v>
      </c>
      <c r="Q58" s="60"/>
      <c r="R58" s="52"/>
      <c r="S58" s="66"/>
      <c r="T58" s="65"/>
      <c r="U58" s="68"/>
      <c r="V58" s="59"/>
      <c r="W58" s="6">
        <f>'CLIENT ENROLLMENT DISCHARGE '!M58</f>
        <v>0</v>
      </c>
      <c r="X58" s="76"/>
      <c r="Y58" s="180"/>
    </row>
    <row r="59" spans="1:25" ht="50.1" customHeight="1" x14ac:dyDescent="0.25">
      <c r="A59" s="5">
        <f t="shared" si="0"/>
        <v>45</v>
      </c>
      <c r="B59" s="10">
        <f>'CLIENT ENROLLMENT DISCHARGE '!B59</f>
        <v>0</v>
      </c>
      <c r="C59" s="4">
        <f>'CLIENT ENROLLMENT DISCHARGE '!C59</f>
        <v>0</v>
      </c>
      <c r="D59" s="51"/>
      <c r="E59" s="52"/>
      <c r="F59" s="51"/>
      <c r="G59" s="52"/>
      <c r="H59" s="62"/>
      <c r="I59" s="115"/>
      <c r="J59" s="9"/>
      <c r="K59" s="70"/>
      <c r="L59" s="52"/>
      <c r="M59" s="8"/>
      <c r="N59" s="7"/>
      <c r="O59" s="218">
        <f t="shared" si="1"/>
        <v>0</v>
      </c>
      <c r="P59" s="218">
        <f>O59+OCT!P59</f>
        <v>0</v>
      </c>
      <c r="Q59" s="59"/>
      <c r="R59" s="51"/>
      <c r="S59" s="65"/>
      <c r="T59" s="64"/>
      <c r="U59" s="67"/>
      <c r="V59" s="74"/>
      <c r="W59" s="6">
        <f>'CLIENT ENROLLMENT DISCHARGE '!M59</f>
        <v>0</v>
      </c>
      <c r="X59" s="76"/>
      <c r="Y59" s="180"/>
    </row>
    <row r="60" spans="1:25" ht="50.1" customHeight="1" x14ac:dyDescent="0.25">
      <c r="A60" s="5">
        <f t="shared" si="0"/>
        <v>46</v>
      </c>
      <c r="B60" s="10">
        <f>'CLIENT ENROLLMENT DISCHARGE '!B60</f>
        <v>0</v>
      </c>
      <c r="C60" s="4">
        <f>'CLIENT ENROLLMENT DISCHARGE '!C60</f>
        <v>0</v>
      </c>
      <c r="D60" s="52"/>
      <c r="E60" s="53"/>
      <c r="F60" s="52"/>
      <c r="G60" s="53"/>
      <c r="H60" s="63"/>
      <c r="I60" s="116"/>
      <c r="J60" s="3"/>
      <c r="K60" s="71"/>
      <c r="L60" s="53"/>
      <c r="M60" s="2"/>
      <c r="N60" s="1"/>
      <c r="O60" s="218">
        <f t="shared" si="1"/>
        <v>0</v>
      </c>
      <c r="P60" s="218">
        <f>O60+OCT!P60</f>
        <v>0</v>
      </c>
      <c r="Q60" s="60"/>
      <c r="R60" s="52"/>
      <c r="S60" s="66"/>
      <c r="T60" s="65"/>
      <c r="U60" s="68"/>
      <c r="V60" s="75"/>
      <c r="W60" s="6">
        <f>'CLIENT ENROLLMENT DISCHARGE '!M60</f>
        <v>0</v>
      </c>
      <c r="X60" s="76"/>
      <c r="Y60" s="180"/>
    </row>
    <row r="61" spans="1:25" ht="50.1" customHeight="1" x14ac:dyDescent="0.25">
      <c r="A61" s="5">
        <f t="shared" si="0"/>
        <v>47</v>
      </c>
      <c r="B61" s="10">
        <f>'CLIENT ENROLLMENT DISCHARGE '!B61</f>
        <v>0</v>
      </c>
      <c r="C61" s="4">
        <f>'CLIENT ENROLLMENT DISCHARGE '!C61</f>
        <v>0</v>
      </c>
      <c r="D61" s="51"/>
      <c r="E61" s="52"/>
      <c r="F61" s="51"/>
      <c r="G61" s="52"/>
      <c r="H61" s="62"/>
      <c r="I61" s="115"/>
      <c r="J61" s="9"/>
      <c r="K61" s="70"/>
      <c r="L61" s="52"/>
      <c r="M61" s="8"/>
      <c r="N61" s="7"/>
      <c r="O61" s="218">
        <f t="shared" si="1"/>
        <v>0</v>
      </c>
      <c r="P61" s="218">
        <f>O61+OCT!P61</f>
        <v>0</v>
      </c>
      <c r="Q61" s="59"/>
      <c r="R61" s="51"/>
      <c r="S61" s="65"/>
      <c r="T61" s="64"/>
      <c r="U61" s="67"/>
      <c r="V61" s="74"/>
      <c r="W61" s="6">
        <f>'CLIENT ENROLLMENT DISCHARGE '!M61</f>
        <v>0</v>
      </c>
      <c r="X61" s="76"/>
      <c r="Y61" s="180"/>
    </row>
    <row r="62" spans="1:25" ht="50.1" customHeight="1" x14ac:dyDescent="0.25">
      <c r="A62" s="5">
        <f t="shared" si="0"/>
        <v>48</v>
      </c>
      <c r="B62" s="10">
        <f>'CLIENT ENROLLMENT DISCHARGE '!B62</f>
        <v>0</v>
      </c>
      <c r="C62" s="4">
        <f>'CLIENT ENROLLMENT DISCHARGE '!C62</f>
        <v>0</v>
      </c>
      <c r="D62" s="52"/>
      <c r="E62" s="53"/>
      <c r="F62" s="52"/>
      <c r="G62" s="53"/>
      <c r="H62" s="63"/>
      <c r="I62" s="116"/>
      <c r="J62" s="3"/>
      <c r="K62" s="71"/>
      <c r="L62" s="53"/>
      <c r="M62" s="2"/>
      <c r="N62" s="1"/>
      <c r="O62" s="218">
        <f t="shared" si="1"/>
        <v>0</v>
      </c>
      <c r="P62" s="218">
        <f>O62+OCT!P62</f>
        <v>0</v>
      </c>
      <c r="Q62" s="60"/>
      <c r="R62" s="52"/>
      <c r="S62" s="66"/>
      <c r="T62" s="65"/>
      <c r="U62" s="68"/>
      <c r="V62" s="59"/>
      <c r="W62" s="6">
        <f>'CLIENT ENROLLMENT DISCHARGE '!M62</f>
        <v>0</v>
      </c>
      <c r="X62" s="76"/>
      <c r="Y62" s="180"/>
    </row>
    <row r="63" spans="1:25" ht="50.1" customHeight="1" x14ac:dyDescent="0.25">
      <c r="A63" s="5">
        <f t="shared" si="0"/>
        <v>49</v>
      </c>
      <c r="B63" s="10">
        <f>'CLIENT ENROLLMENT DISCHARGE '!B63</f>
        <v>0</v>
      </c>
      <c r="C63" s="4">
        <f>'CLIENT ENROLLMENT DISCHARGE '!C63</f>
        <v>0</v>
      </c>
      <c r="D63" s="51"/>
      <c r="E63" s="52"/>
      <c r="F63" s="51"/>
      <c r="G63" s="52"/>
      <c r="H63" s="62"/>
      <c r="I63" s="115"/>
      <c r="J63" s="9"/>
      <c r="K63" s="70"/>
      <c r="L63" s="52"/>
      <c r="M63" s="8"/>
      <c r="N63" s="7"/>
      <c r="O63" s="218">
        <f t="shared" si="1"/>
        <v>0</v>
      </c>
      <c r="P63" s="218">
        <f>O63+OCT!P63</f>
        <v>0</v>
      </c>
      <c r="Q63" s="59"/>
      <c r="R63" s="51"/>
      <c r="S63" s="65"/>
      <c r="T63" s="64"/>
      <c r="U63" s="67"/>
      <c r="V63" s="74"/>
      <c r="W63" s="6">
        <f>'CLIENT ENROLLMENT DISCHARGE '!M63</f>
        <v>0</v>
      </c>
      <c r="X63" s="76"/>
      <c r="Y63" s="180"/>
    </row>
    <row r="64" spans="1:25" ht="50.1" customHeight="1" x14ac:dyDescent="0.25">
      <c r="A64" s="5">
        <f t="shared" si="0"/>
        <v>50</v>
      </c>
      <c r="B64" s="10">
        <f>'CLIENT ENROLLMENT DISCHARGE '!B64</f>
        <v>0</v>
      </c>
      <c r="C64" s="4">
        <f>'CLIENT ENROLLMENT DISCHARGE '!C64</f>
        <v>0</v>
      </c>
      <c r="D64" s="52"/>
      <c r="E64" s="53"/>
      <c r="F64" s="52"/>
      <c r="G64" s="53"/>
      <c r="H64" s="63"/>
      <c r="I64" s="116"/>
      <c r="J64" s="3"/>
      <c r="K64" s="71"/>
      <c r="L64" s="53"/>
      <c r="M64" s="2"/>
      <c r="N64" s="1"/>
      <c r="O64" s="218">
        <f t="shared" si="1"/>
        <v>0</v>
      </c>
      <c r="P64" s="218">
        <f>O64+OCT!P64</f>
        <v>0</v>
      </c>
      <c r="Q64" s="60"/>
      <c r="R64" s="52"/>
      <c r="S64" s="66"/>
      <c r="T64" s="65"/>
      <c r="U64" s="68"/>
      <c r="V64" s="59"/>
      <c r="W64" s="6">
        <f>'CLIENT ENROLLMENT DISCHARGE '!M64</f>
        <v>0</v>
      </c>
      <c r="X64" s="76"/>
      <c r="Y64" s="180"/>
    </row>
    <row r="65" spans="1:25" ht="50.1" customHeight="1" x14ac:dyDescent="0.25">
      <c r="A65" s="5">
        <f t="shared" si="0"/>
        <v>51</v>
      </c>
      <c r="B65" s="10">
        <f>'CLIENT ENROLLMENT DISCHARGE '!B65</f>
        <v>0</v>
      </c>
      <c r="C65" s="4">
        <f>'CLIENT ENROLLMENT DISCHARGE '!C65</f>
        <v>0</v>
      </c>
      <c r="D65" s="51"/>
      <c r="E65" s="52"/>
      <c r="F65" s="51"/>
      <c r="G65" s="52"/>
      <c r="H65" s="62"/>
      <c r="I65" s="115"/>
      <c r="J65" s="9"/>
      <c r="K65" s="70"/>
      <c r="L65" s="52"/>
      <c r="M65" s="8"/>
      <c r="N65" s="7"/>
      <c r="O65" s="218">
        <f t="shared" si="1"/>
        <v>0</v>
      </c>
      <c r="P65" s="218">
        <f>O65+OCT!P65</f>
        <v>0</v>
      </c>
      <c r="Q65" s="59"/>
      <c r="R65" s="51"/>
      <c r="S65" s="65"/>
      <c r="T65" s="64"/>
      <c r="U65" s="67"/>
      <c r="V65" s="74"/>
      <c r="W65" s="6">
        <f>'CLIENT ENROLLMENT DISCHARGE '!M65</f>
        <v>0</v>
      </c>
      <c r="X65" s="76"/>
      <c r="Y65" s="180"/>
    </row>
    <row r="66" spans="1:25" ht="50.1" customHeight="1" x14ac:dyDescent="0.25">
      <c r="A66" s="5">
        <f t="shared" si="0"/>
        <v>52</v>
      </c>
      <c r="B66" s="10">
        <f>'CLIENT ENROLLMENT DISCHARGE '!B66</f>
        <v>0</v>
      </c>
      <c r="C66" s="4">
        <f>'CLIENT ENROLLMENT DISCHARGE '!C66</f>
        <v>0</v>
      </c>
      <c r="D66" s="52"/>
      <c r="E66" s="53"/>
      <c r="F66" s="52"/>
      <c r="G66" s="53"/>
      <c r="H66" s="63"/>
      <c r="I66" s="116"/>
      <c r="J66" s="3"/>
      <c r="K66" s="71"/>
      <c r="L66" s="53"/>
      <c r="M66" s="2"/>
      <c r="N66" s="1"/>
      <c r="O66" s="218">
        <f t="shared" si="1"/>
        <v>0</v>
      </c>
      <c r="P66" s="218">
        <f>O66+OCT!P66</f>
        <v>0</v>
      </c>
      <c r="Q66" s="60"/>
      <c r="R66" s="52"/>
      <c r="S66" s="66"/>
      <c r="T66" s="65"/>
      <c r="U66" s="68"/>
      <c r="V66" s="59"/>
      <c r="W66" s="6">
        <f>'CLIENT ENROLLMENT DISCHARGE '!M66</f>
        <v>0</v>
      </c>
      <c r="X66" s="76"/>
      <c r="Y66" s="180"/>
    </row>
    <row r="67" spans="1:25" ht="50.1" customHeight="1" x14ac:dyDescent="0.25">
      <c r="A67" s="5">
        <f t="shared" si="0"/>
        <v>53</v>
      </c>
      <c r="B67" s="10">
        <f>'CLIENT ENROLLMENT DISCHARGE '!B67</f>
        <v>0</v>
      </c>
      <c r="C67" s="4">
        <f>'CLIENT ENROLLMENT DISCHARGE '!C67</f>
        <v>0</v>
      </c>
      <c r="D67" s="51"/>
      <c r="E67" s="52"/>
      <c r="F67" s="51"/>
      <c r="G67" s="52"/>
      <c r="H67" s="62"/>
      <c r="I67" s="115"/>
      <c r="J67" s="9"/>
      <c r="K67" s="70"/>
      <c r="L67" s="52"/>
      <c r="M67" s="8"/>
      <c r="N67" s="7"/>
      <c r="O67" s="218">
        <f t="shared" si="1"/>
        <v>0</v>
      </c>
      <c r="P67" s="218">
        <f>O67+OCT!P67</f>
        <v>0</v>
      </c>
      <c r="Q67" s="59"/>
      <c r="R67" s="51"/>
      <c r="S67" s="65"/>
      <c r="T67" s="64"/>
      <c r="U67" s="67"/>
      <c r="V67" s="74"/>
      <c r="W67" s="6">
        <f>'CLIENT ENROLLMENT DISCHARGE '!M67</f>
        <v>0</v>
      </c>
      <c r="X67" s="76"/>
      <c r="Y67" s="180"/>
    </row>
    <row r="68" spans="1:25" ht="50.1" customHeight="1" x14ac:dyDescent="0.25">
      <c r="A68" s="5">
        <f t="shared" si="0"/>
        <v>54</v>
      </c>
      <c r="B68" s="10">
        <f>'CLIENT ENROLLMENT DISCHARGE '!B68</f>
        <v>0</v>
      </c>
      <c r="C68" s="4">
        <f>'CLIENT ENROLLMENT DISCHARGE '!C68</f>
        <v>0</v>
      </c>
      <c r="D68" s="52"/>
      <c r="E68" s="53"/>
      <c r="F68" s="52"/>
      <c r="G68" s="53"/>
      <c r="H68" s="63"/>
      <c r="I68" s="116"/>
      <c r="J68" s="3"/>
      <c r="K68" s="71"/>
      <c r="L68" s="53"/>
      <c r="M68" s="2"/>
      <c r="N68" s="1"/>
      <c r="O68" s="218">
        <f t="shared" si="1"/>
        <v>0</v>
      </c>
      <c r="P68" s="218">
        <f>O68+OCT!P68</f>
        <v>0</v>
      </c>
      <c r="Q68" s="60"/>
      <c r="R68" s="52"/>
      <c r="S68" s="66"/>
      <c r="T68" s="65"/>
      <c r="U68" s="68"/>
      <c r="V68" s="59"/>
      <c r="W68" s="6">
        <f>'CLIENT ENROLLMENT DISCHARGE '!M68</f>
        <v>0</v>
      </c>
      <c r="X68" s="76"/>
      <c r="Y68" s="180"/>
    </row>
    <row r="69" spans="1:25" ht="50.1" customHeight="1" x14ac:dyDescent="0.25">
      <c r="A69" s="5">
        <f t="shared" si="0"/>
        <v>55</v>
      </c>
      <c r="B69" s="10">
        <f>'CLIENT ENROLLMENT DISCHARGE '!B69</f>
        <v>0</v>
      </c>
      <c r="C69" s="4">
        <f>'CLIENT ENROLLMENT DISCHARGE '!C69</f>
        <v>0</v>
      </c>
      <c r="D69" s="51"/>
      <c r="E69" s="52"/>
      <c r="F69" s="51"/>
      <c r="G69" s="52"/>
      <c r="H69" s="62"/>
      <c r="I69" s="115"/>
      <c r="J69" s="9"/>
      <c r="K69" s="70"/>
      <c r="L69" s="52"/>
      <c r="M69" s="8"/>
      <c r="N69" s="7"/>
      <c r="O69" s="218">
        <f t="shared" si="1"/>
        <v>0</v>
      </c>
      <c r="P69" s="218">
        <f>O69+OCT!P69</f>
        <v>0</v>
      </c>
      <c r="Q69" s="59"/>
      <c r="R69" s="51"/>
      <c r="S69" s="65"/>
      <c r="T69" s="64"/>
      <c r="U69" s="67"/>
      <c r="V69" s="74"/>
      <c r="W69" s="6">
        <f>'CLIENT ENROLLMENT DISCHARGE '!M69</f>
        <v>0</v>
      </c>
      <c r="X69" s="76"/>
      <c r="Y69" s="180"/>
    </row>
    <row r="70" spans="1:25" ht="50.1" customHeight="1" x14ac:dyDescent="0.25">
      <c r="A70" s="5">
        <f t="shared" si="0"/>
        <v>56</v>
      </c>
      <c r="B70" s="10">
        <f>'CLIENT ENROLLMENT DISCHARGE '!B70</f>
        <v>0</v>
      </c>
      <c r="C70" s="4">
        <f>'CLIENT ENROLLMENT DISCHARGE '!C70</f>
        <v>0</v>
      </c>
      <c r="D70" s="52"/>
      <c r="E70" s="53"/>
      <c r="F70" s="52"/>
      <c r="G70" s="53"/>
      <c r="H70" s="63"/>
      <c r="I70" s="116"/>
      <c r="J70" s="3"/>
      <c r="K70" s="71"/>
      <c r="L70" s="53"/>
      <c r="M70" s="2"/>
      <c r="N70" s="1"/>
      <c r="O70" s="218">
        <f t="shared" si="1"/>
        <v>0</v>
      </c>
      <c r="P70" s="218">
        <f>O70+OCT!P70</f>
        <v>0</v>
      </c>
      <c r="Q70" s="60"/>
      <c r="R70" s="52"/>
      <c r="S70" s="66"/>
      <c r="T70" s="65"/>
      <c r="U70" s="68"/>
      <c r="V70" s="75"/>
      <c r="W70" s="6">
        <f>'CLIENT ENROLLMENT DISCHARGE '!M70</f>
        <v>0</v>
      </c>
      <c r="X70" s="76"/>
      <c r="Y70" s="180"/>
    </row>
    <row r="71" spans="1:25" ht="50.1" customHeight="1" x14ac:dyDescent="0.25">
      <c r="A71" s="5">
        <f t="shared" si="0"/>
        <v>57</v>
      </c>
      <c r="B71" s="10">
        <f>'CLIENT ENROLLMENT DISCHARGE '!B71</f>
        <v>0</v>
      </c>
      <c r="C71" s="4">
        <f>'CLIENT ENROLLMENT DISCHARGE '!C71</f>
        <v>0</v>
      </c>
      <c r="D71" s="51"/>
      <c r="E71" s="52"/>
      <c r="F71" s="51"/>
      <c r="G71" s="52"/>
      <c r="H71" s="62"/>
      <c r="I71" s="115"/>
      <c r="J71" s="9"/>
      <c r="K71" s="70"/>
      <c r="L71" s="52"/>
      <c r="M71" s="8"/>
      <c r="N71" s="7"/>
      <c r="O71" s="218">
        <f t="shared" si="1"/>
        <v>0</v>
      </c>
      <c r="P71" s="218">
        <f>O71+OCT!P71</f>
        <v>0</v>
      </c>
      <c r="Q71" s="59"/>
      <c r="R71" s="51"/>
      <c r="S71" s="65"/>
      <c r="T71" s="64"/>
      <c r="U71" s="67"/>
      <c r="V71" s="74"/>
      <c r="W71" s="6">
        <f>'CLIENT ENROLLMENT DISCHARGE '!M71</f>
        <v>0</v>
      </c>
      <c r="X71" s="76"/>
      <c r="Y71" s="180"/>
    </row>
    <row r="72" spans="1:25" ht="50.1" customHeight="1" x14ac:dyDescent="0.25">
      <c r="A72" s="5">
        <f t="shared" si="0"/>
        <v>58</v>
      </c>
      <c r="B72" s="10">
        <f>'CLIENT ENROLLMENT DISCHARGE '!B72</f>
        <v>0</v>
      </c>
      <c r="C72" s="4">
        <f>'CLIENT ENROLLMENT DISCHARGE '!C72</f>
        <v>0</v>
      </c>
      <c r="D72" s="52"/>
      <c r="E72" s="53"/>
      <c r="F72" s="52"/>
      <c r="G72" s="53"/>
      <c r="H72" s="63"/>
      <c r="I72" s="116"/>
      <c r="J72" s="3"/>
      <c r="K72" s="71"/>
      <c r="L72" s="53"/>
      <c r="M72" s="2"/>
      <c r="N72" s="1"/>
      <c r="O72" s="218">
        <f t="shared" si="1"/>
        <v>0</v>
      </c>
      <c r="P72" s="218">
        <f>O72+OCT!P72</f>
        <v>0</v>
      </c>
      <c r="Q72" s="60"/>
      <c r="R72" s="52"/>
      <c r="S72" s="66"/>
      <c r="T72" s="65"/>
      <c r="U72" s="68"/>
      <c r="V72" s="59"/>
      <c r="W72" s="6">
        <f>'CLIENT ENROLLMENT DISCHARGE '!M72</f>
        <v>0</v>
      </c>
      <c r="X72" s="76"/>
      <c r="Y72" s="180"/>
    </row>
    <row r="73" spans="1:25" ht="50.1" customHeight="1" x14ac:dyDescent="0.25">
      <c r="A73" s="5">
        <f t="shared" si="0"/>
        <v>59</v>
      </c>
      <c r="B73" s="10">
        <f>'CLIENT ENROLLMENT DISCHARGE '!B73</f>
        <v>0</v>
      </c>
      <c r="C73" s="4">
        <f>'CLIENT ENROLLMENT DISCHARGE '!C73</f>
        <v>0</v>
      </c>
      <c r="D73" s="51"/>
      <c r="E73" s="52"/>
      <c r="F73" s="51"/>
      <c r="G73" s="52"/>
      <c r="H73" s="62"/>
      <c r="I73" s="115"/>
      <c r="J73" s="9"/>
      <c r="K73" s="70"/>
      <c r="L73" s="52"/>
      <c r="M73" s="8"/>
      <c r="N73" s="7"/>
      <c r="O73" s="218">
        <f t="shared" si="1"/>
        <v>0</v>
      </c>
      <c r="P73" s="218">
        <f>O73+OCT!P73</f>
        <v>0</v>
      </c>
      <c r="Q73" s="59"/>
      <c r="R73" s="51"/>
      <c r="S73" s="65"/>
      <c r="T73" s="64"/>
      <c r="U73" s="67"/>
      <c r="V73" s="74"/>
      <c r="W73" s="6">
        <f>'CLIENT ENROLLMENT DISCHARGE '!M73</f>
        <v>0</v>
      </c>
      <c r="X73" s="76"/>
      <c r="Y73" s="180"/>
    </row>
    <row r="74" spans="1:25" ht="50.1" customHeight="1" x14ac:dyDescent="0.25">
      <c r="A74" s="5">
        <f t="shared" si="0"/>
        <v>60</v>
      </c>
      <c r="B74" s="10">
        <f>'CLIENT ENROLLMENT DISCHARGE '!B74</f>
        <v>0</v>
      </c>
      <c r="C74" s="4">
        <f>'CLIENT ENROLLMENT DISCHARGE '!C74</f>
        <v>0</v>
      </c>
      <c r="D74" s="52"/>
      <c r="E74" s="53"/>
      <c r="F74" s="52"/>
      <c r="G74" s="53"/>
      <c r="H74" s="63"/>
      <c r="I74" s="116"/>
      <c r="J74" s="3"/>
      <c r="K74" s="71"/>
      <c r="L74" s="53"/>
      <c r="M74" s="2"/>
      <c r="N74" s="1"/>
      <c r="O74" s="218">
        <f t="shared" si="1"/>
        <v>0</v>
      </c>
      <c r="P74" s="218">
        <f>O74+OCT!P74</f>
        <v>0</v>
      </c>
      <c r="Q74" s="60"/>
      <c r="R74" s="52"/>
      <c r="S74" s="66"/>
      <c r="T74" s="65"/>
      <c r="U74" s="68"/>
      <c r="V74" s="59"/>
      <c r="W74" s="6">
        <f>'CLIENT ENROLLMENT DISCHARGE '!M74</f>
        <v>0</v>
      </c>
      <c r="X74" s="76"/>
      <c r="Y74" s="180"/>
    </row>
    <row r="75" spans="1:25" ht="50.1" customHeight="1" x14ac:dyDescent="0.25">
      <c r="A75" s="5">
        <f t="shared" si="0"/>
        <v>61</v>
      </c>
      <c r="B75" s="10">
        <f>'CLIENT ENROLLMENT DISCHARGE '!B75</f>
        <v>0</v>
      </c>
      <c r="C75" s="4">
        <f>'CLIENT ENROLLMENT DISCHARGE '!C75</f>
        <v>0</v>
      </c>
      <c r="D75" s="51"/>
      <c r="E75" s="52"/>
      <c r="F75" s="51"/>
      <c r="G75" s="52"/>
      <c r="H75" s="62"/>
      <c r="I75" s="115"/>
      <c r="J75" s="9"/>
      <c r="K75" s="70"/>
      <c r="L75" s="52"/>
      <c r="M75" s="8"/>
      <c r="N75" s="7"/>
      <c r="O75" s="218">
        <f t="shared" si="1"/>
        <v>0</v>
      </c>
      <c r="P75" s="218">
        <f>O75+OCT!P75</f>
        <v>0</v>
      </c>
      <c r="Q75" s="59"/>
      <c r="R75" s="51"/>
      <c r="S75" s="65"/>
      <c r="T75" s="64"/>
      <c r="U75" s="67"/>
      <c r="V75" s="74"/>
      <c r="W75" s="6">
        <f>'CLIENT ENROLLMENT DISCHARGE '!M75</f>
        <v>0</v>
      </c>
      <c r="X75" s="76"/>
      <c r="Y75" s="180"/>
    </row>
    <row r="76" spans="1:25" ht="50.1" customHeight="1" x14ac:dyDescent="0.25">
      <c r="A76" s="5">
        <f t="shared" si="0"/>
        <v>62</v>
      </c>
      <c r="B76" s="10">
        <f>'CLIENT ENROLLMENT DISCHARGE '!B76</f>
        <v>0</v>
      </c>
      <c r="C76" s="4">
        <f>'CLIENT ENROLLMENT DISCHARGE '!C76</f>
        <v>0</v>
      </c>
      <c r="D76" s="52"/>
      <c r="E76" s="53"/>
      <c r="F76" s="52"/>
      <c r="G76" s="53"/>
      <c r="H76" s="63"/>
      <c r="I76" s="116"/>
      <c r="J76" s="3"/>
      <c r="K76" s="71"/>
      <c r="L76" s="53"/>
      <c r="M76" s="2"/>
      <c r="N76" s="1"/>
      <c r="O76" s="218">
        <f t="shared" si="1"/>
        <v>0</v>
      </c>
      <c r="P76" s="218">
        <f>O76+OCT!P76</f>
        <v>0</v>
      </c>
      <c r="Q76" s="60"/>
      <c r="R76" s="52"/>
      <c r="S76" s="66"/>
      <c r="T76" s="65"/>
      <c r="U76" s="68"/>
      <c r="V76" s="59"/>
      <c r="W76" s="6">
        <f>'CLIENT ENROLLMENT DISCHARGE '!M76</f>
        <v>0</v>
      </c>
      <c r="X76" s="76"/>
      <c r="Y76" s="180"/>
    </row>
    <row r="77" spans="1:25" ht="50.1" customHeight="1" x14ac:dyDescent="0.25">
      <c r="A77" s="5">
        <f t="shared" si="0"/>
        <v>63</v>
      </c>
      <c r="B77" s="10">
        <f>'CLIENT ENROLLMENT DISCHARGE '!B77</f>
        <v>0</v>
      </c>
      <c r="C77" s="4">
        <f>'CLIENT ENROLLMENT DISCHARGE '!C77</f>
        <v>0</v>
      </c>
      <c r="D77" s="51"/>
      <c r="E77" s="52"/>
      <c r="F77" s="51"/>
      <c r="G77" s="52"/>
      <c r="H77" s="62"/>
      <c r="I77" s="115"/>
      <c r="J77" s="9"/>
      <c r="K77" s="70"/>
      <c r="L77" s="52"/>
      <c r="M77" s="8"/>
      <c r="N77" s="7"/>
      <c r="O77" s="218">
        <f t="shared" si="1"/>
        <v>0</v>
      </c>
      <c r="P77" s="218">
        <f>O77+OCT!P77</f>
        <v>0</v>
      </c>
      <c r="Q77" s="59"/>
      <c r="R77" s="51"/>
      <c r="S77" s="65"/>
      <c r="T77" s="64"/>
      <c r="U77" s="67"/>
      <c r="V77" s="74"/>
      <c r="W77" s="6">
        <f>'CLIENT ENROLLMENT DISCHARGE '!M77</f>
        <v>0</v>
      </c>
      <c r="X77" s="76"/>
      <c r="Y77" s="180"/>
    </row>
    <row r="78" spans="1:25" ht="50.1" customHeight="1" x14ac:dyDescent="0.25">
      <c r="A78" s="5">
        <f t="shared" si="0"/>
        <v>64</v>
      </c>
      <c r="B78" s="10">
        <f>'CLIENT ENROLLMENT DISCHARGE '!B78</f>
        <v>0</v>
      </c>
      <c r="C78" s="4">
        <f>'CLIENT ENROLLMENT DISCHARGE '!C78</f>
        <v>0</v>
      </c>
      <c r="D78" s="52"/>
      <c r="E78" s="53"/>
      <c r="F78" s="52"/>
      <c r="G78" s="53"/>
      <c r="H78" s="63"/>
      <c r="I78" s="116"/>
      <c r="J78" s="3"/>
      <c r="K78" s="71"/>
      <c r="L78" s="53"/>
      <c r="M78" s="2"/>
      <c r="N78" s="1"/>
      <c r="O78" s="218">
        <f t="shared" si="1"/>
        <v>0</v>
      </c>
      <c r="P78" s="218">
        <f>O78+OCT!P78</f>
        <v>0</v>
      </c>
      <c r="Q78" s="60"/>
      <c r="R78" s="52"/>
      <c r="S78" s="66"/>
      <c r="T78" s="65"/>
      <c r="U78" s="68"/>
      <c r="V78" s="59"/>
      <c r="W78" s="6">
        <f>'CLIENT ENROLLMENT DISCHARGE '!M78</f>
        <v>0</v>
      </c>
      <c r="X78" s="76"/>
      <c r="Y78" s="180"/>
    </row>
    <row r="79" spans="1:25" ht="50.1" customHeight="1" x14ac:dyDescent="0.25">
      <c r="A79" s="5">
        <f t="shared" si="0"/>
        <v>65</v>
      </c>
      <c r="B79" s="10">
        <f>'CLIENT ENROLLMENT DISCHARGE '!B79</f>
        <v>0</v>
      </c>
      <c r="C79" s="4">
        <f>'CLIENT ENROLLMENT DISCHARGE '!C79</f>
        <v>0</v>
      </c>
      <c r="D79" s="51"/>
      <c r="E79" s="52"/>
      <c r="F79" s="51"/>
      <c r="G79" s="52"/>
      <c r="H79" s="62"/>
      <c r="I79" s="115"/>
      <c r="J79" s="9"/>
      <c r="K79" s="70"/>
      <c r="L79" s="52"/>
      <c r="M79" s="8"/>
      <c r="N79" s="7"/>
      <c r="O79" s="218">
        <f t="shared" si="1"/>
        <v>0</v>
      </c>
      <c r="P79" s="218">
        <f>O79+OCT!P79</f>
        <v>0</v>
      </c>
      <c r="Q79" s="59"/>
      <c r="R79" s="51"/>
      <c r="S79" s="65"/>
      <c r="T79" s="64"/>
      <c r="U79" s="67"/>
      <c r="V79" s="74"/>
      <c r="W79" s="6">
        <f>'CLIENT ENROLLMENT DISCHARGE '!M79</f>
        <v>0</v>
      </c>
      <c r="X79" s="76"/>
      <c r="Y79" s="180"/>
    </row>
    <row r="80" spans="1:25" ht="50.1" customHeight="1" x14ac:dyDescent="0.25">
      <c r="A80" s="5">
        <f t="shared" ref="A80:A143" si="2">ROW(A66)</f>
        <v>66</v>
      </c>
      <c r="B80" s="10">
        <f>'CLIENT ENROLLMENT DISCHARGE '!B80</f>
        <v>0</v>
      </c>
      <c r="C80" s="4">
        <f>'CLIENT ENROLLMENT DISCHARGE '!C80</f>
        <v>0</v>
      </c>
      <c r="D80" s="52"/>
      <c r="E80" s="53"/>
      <c r="F80" s="52"/>
      <c r="G80" s="53"/>
      <c r="H80" s="63"/>
      <c r="I80" s="116"/>
      <c r="J80" s="3"/>
      <c r="K80" s="71"/>
      <c r="L80" s="53"/>
      <c r="M80" s="2"/>
      <c r="N80" s="1"/>
      <c r="O80" s="218">
        <f t="shared" ref="O80:O143" si="3">K80*N80</f>
        <v>0</v>
      </c>
      <c r="P80" s="218">
        <f>O80+OCT!P80</f>
        <v>0</v>
      </c>
      <c r="Q80" s="60"/>
      <c r="R80" s="52"/>
      <c r="S80" s="66"/>
      <c r="T80" s="65"/>
      <c r="U80" s="68"/>
      <c r="V80" s="75"/>
      <c r="W80" s="6">
        <f>'CLIENT ENROLLMENT DISCHARGE '!M80</f>
        <v>0</v>
      </c>
      <c r="X80" s="76"/>
      <c r="Y80" s="180"/>
    </row>
    <row r="81" spans="1:25" ht="50.1" customHeight="1" x14ac:dyDescent="0.25">
      <c r="A81" s="5">
        <f t="shared" si="2"/>
        <v>67</v>
      </c>
      <c r="B81" s="10">
        <f>'CLIENT ENROLLMENT DISCHARGE '!B81</f>
        <v>0</v>
      </c>
      <c r="C81" s="4">
        <f>'CLIENT ENROLLMENT DISCHARGE '!C81</f>
        <v>0</v>
      </c>
      <c r="D81" s="51"/>
      <c r="E81" s="52"/>
      <c r="F81" s="51"/>
      <c r="G81" s="52"/>
      <c r="H81" s="62"/>
      <c r="I81" s="115"/>
      <c r="J81" s="9"/>
      <c r="K81" s="70"/>
      <c r="L81" s="52"/>
      <c r="M81" s="8"/>
      <c r="N81" s="7"/>
      <c r="O81" s="218">
        <f t="shared" si="3"/>
        <v>0</v>
      </c>
      <c r="P81" s="218">
        <f>O81+OCT!P81</f>
        <v>0</v>
      </c>
      <c r="Q81" s="59"/>
      <c r="R81" s="51"/>
      <c r="S81" s="65"/>
      <c r="T81" s="64"/>
      <c r="U81" s="67"/>
      <c r="V81" s="74"/>
      <c r="W81" s="6">
        <f>'CLIENT ENROLLMENT DISCHARGE '!M81</f>
        <v>0</v>
      </c>
      <c r="X81" s="76"/>
      <c r="Y81" s="180"/>
    </row>
    <row r="82" spans="1:25" ht="50.1" customHeight="1" x14ac:dyDescent="0.25">
      <c r="A82" s="5">
        <f t="shared" si="2"/>
        <v>68</v>
      </c>
      <c r="B82" s="10">
        <f>'CLIENT ENROLLMENT DISCHARGE '!B82</f>
        <v>0</v>
      </c>
      <c r="C82" s="4">
        <f>'CLIENT ENROLLMENT DISCHARGE '!C82</f>
        <v>0</v>
      </c>
      <c r="D82" s="52"/>
      <c r="E82" s="53"/>
      <c r="F82" s="52"/>
      <c r="G82" s="53"/>
      <c r="H82" s="63"/>
      <c r="I82" s="116"/>
      <c r="J82" s="3"/>
      <c r="K82" s="71"/>
      <c r="L82" s="53"/>
      <c r="M82" s="2"/>
      <c r="N82" s="1"/>
      <c r="O82" s="218">
        <f t="shared" si="3"/>
        <v>0</v>
      </c>
      <c r="P82" s="218">
        <f>O82+OCT!P82</f>
        <v>0</v>
      </c>
      <c r="Q82" s="60"/>
      <c r="R82" s="52"/>
      <c r="S82" s="66"/>
      <c r="T82" s="65"/>
      <c r="U82" s="68"/>
      <c r="V82" s="59"/>
      <c r="W82" s="6">
        <f>'CLIENT ENROLLMENT DISCHARGE '!M82</f>
        <v>0</v>
      </c>
      <c r="X82" s="76"/>
      <c r="Y82" s="180"/>
    </row>
    <row r="83" spans="1:25" ht="50.1" customHeight="1" x14ac:dyDescent="0.25">
      <c r="A83" s="5">
        <f t="shared" si="2"/>
        <v>69</v>
      </c>
      <c r="B83" s="10">
        <f>'CLIENT ENROLLMENT DISCHARGE '!B83</f>
        <v>0</v>
      </c>
      <c r="C83" s="4">
        <f>'CLIENT ENROLLMENT DISCHARGE '!C83</f>
        <v>0</v>
      </c>
      <c r="D83" s="51"/>
      <c r="E83" s="52"/>
      <c r="F83" s="51"/>
      <c r="G83" s="52"/>
      <c r="H83" s="62"/>
      <c r="I83" s="115"/>
      <c r="J83" s="9"/>
      <c r="K83" s="70"/>
      <c r="L83" s="52"/>
      <c r="M83" s="8"/>
      <c r="N83" s="7"/>
      <c r="O83" s="218">
        <f t="shared" si="3"/>
        <v>0</v>
      </c>
      <c r="P83" s="218">
        <f>O83+OCT!P83</f>
        <v>0</v>
      </c>
      <c r="Q83" s="59"/>
      <c r="R83" s="51"/>
      <c r="S83" s="65"/>
      <c r="T83" s="64"/>
      <c r="U83" s="67"/>
      <c r="V83" s="74"/>
      <c r="W83" s="6">
        <f>'CLIENT ENROLLMENT DISCHARGE '!M83</f>
        <v>0</v>
      </c>
      <c r="X83" s="76"/>
      <c r="Y83" s="180"/>
    </row>
    <row r="84" spans="1:25" ht="50.1" customHeight="1" x14ac:dyDescent="0.25">
      <c r="A84" s="5">
        <f t="shared" si="2"/>
        <v>70</v>
      </c>
      <c r="B84" s="10">
        <f>'CLIENT ENROLLMENT DISCHARGE '!B84</f>
        <v>0</v>
      </c>
      <c r="C84" s="4">
        <f>'CLIENT ENROLLMENT DISCHARGE '!C84</f>
        <v>0</v>
      </c>
      <c r="D84" s="52"/>
      <c r="E84" s="53"/>
      <c r="F84" s="52"/>
      <c r="G84" s="53"/>
      <c r="H84" s="63"/>
      <c r="I84" s="116"/>
      <c r="J84" s="3"/>
      <c r="K84" s="71"/>
      <c r="L84" s="53"/>
      <c r="M84" s="2"/>
      <c r="N84" s="1"/>
      <c r="O84" s="218">
        <f t="shared" si="3"/>
        <v>0</v>
      </c>
      <c r="P84" s="218">
        <f>O84+OCT!P84</f>
        <v>0</v>
      </c>
      <c r="Q84" s="60"/>
      <c r="R84" s="52"/>
      <c r="S84" s="66"/>
      <c r="T84" s="65"/>
      <c r="U84" s="68"/>
      <c r="V84" s="59"/>
      <c r="W84" s="6">
        <f>'CLIENT ENROLLMENT DISCHARGE '!M84</f>
        <v>0</v>
      </c>
      <c r="X84" s="76"/>
      <c r="Y84" s="180"/>
    </row>
    <row r="85" spans="1:25" ht="50.1" customHeight="1" x14ac:dyDescent="0.25">
      <c r="A85" s="5">
        <f t="shared" si="2"/>
        <v>71</v>
      </c>
      <c r="B85" s="10">
        <f>'CLIENT ENROLLMENT DISCHARGE '!B85</f>
        <v>0</v>
      </c>
      <c r="C85" s="4">
        <f>'CLIENT ENROLLMENT DISCHARGE '!C85</f>
        <v>0</v>
      </c>
      <c r="D85" s="51"/>
      <c r="E85" s="52"/>
      <c r="F85" s="51"/>
      <c r="G85" s="52"/>
      <c r="H85" s="62"/>
      <c r="I85" s="115"/>
      <c r="J85" s="9"/>
      <c r="K85" s="70"/>
      <c r="L85" s="52"/>
      <c r="M85" s="8"/>
      <c r="N85" s="7"/>
      <c r="O85" s="218">
        <f t="shared" si="3"/>
        <v>0</v>
      </c>
      <c r="P85" s="218">
        <f>O85+OCT!P85</f>
        <v>0</v>
      </c>
      <c r="Q85" s="59"/>
      <c r="R85" s="51"/>
      <c r="S85" s="65"/>
      <c r="T85" s="64"/>
      <c r="U85" s="67"/>
      <c r="V85" s="74"/>
      <c r="W85" s="6">
        <f>'CLIENT ENROLLMENT DISCHARGE '!M85</f>
        <v>0</v>
      </c>
      <c r="X85" s="76"/>
      <c r="Y85" s="180"/>
    </row>
    <row r="86" spans="1:25" ht="50.1" customHeight="1" x14ac:dyDescent="0.25">
      <c r="A86" s="5">
        <f t="shared" si="2"/>
        <v>72</v>
      </c>
      <c r="B86" s="10">
        <f>'CLIENT ENROLLMENT DISCHARGE '!B86</f>
        <v>0</v>
      </c>
      <c r="C86" s="4">
        <f>'CLIENT ENROLLMENT DISCHARGE '!C86</f>
        <v>0</v>
      </c>
      <c r="D86" s="52"/>
      <c r="E86" s="53"/>
      <c r="F86" s="52"/>
      <c r="G86" s="53"/>
      <c r="H86" s="63"/>
      <c r="I86" s="116"/>
      <c r="J86" s="3"/>
      <c r="K86" s="71"/>
      <c r="L86" s="53"/>
      <c r="M86" s="2"/>
      <c r="N86" s="1"/>
      <c r="O86" s="218">
        <f t="shared" si="3"/>
        <v>0</v>
      </c>
      <c r="P86" s="218">
        <f>O86+OCT!P86</f>
        <v>0</v>
      </c>
      <c r="Q86" s="60"/>
      <c r="R86" s="52"/>
      <c r="S86" s="66"/>
      <c r="T86" s="65"/>
      <c r="U86" s="68"/>
      <c r="V86" s="59"/>
      <c r="W86" s="6">
        <f>'CLIENT ENROLLMENT DISCHARGE '!M86</f>
        <v>0</v>
      </c>
      <c r="X86" s="76"/>
      <c r="Y86" s="180"/>
    </row>
    <row r="87" spans="1:25" ht="50.1" customHeight="1" x14ac:dyDescent="0.25">
      <c r="A87" s="5">
        <f t="shared" si="2"/>
        <v>73</v>
      </c>
      <c r="B87" s="10">
        <f>'CLIENT ENROLLMENT DISCHARGE '!B87</f>
        <v>0</v>
      </c>
      <c r="C87" s="4">
        <f>'CLIENT ENROLLMENT DISCHARGE '!C87</f>
        <v>0</v>
      </c>
      <c r="D87" s="51"/>
      <c r="E87" s="52"/>
      <c r="F87" s="51"/>
      <c r="G87" s="52"/>
      <c r="H87" s="62"/>
      <c r="I87" s="115"/>
      <c r="J87" s="9"/>
      <c r="K87" s="70"/>
      <c r="L87" s="52"/>
      <c r="M87" s="8"/>
      <c r="N87" s="7"/>
      <c r="O87" s="218">
        <f t="shared" si="3"/>
        <v>0</v>
      </c>
      <c r="P87" s="218">
        <f>O87+OCT!P87</f>
        <v>0</v>
      </c>
      <c r="Q87" s="59"/>
      <c r="R87" s="51"/>
      <c r="S87" s="65"/>
      <c r="T87" s="64"/>
      <c r="U87" s="67"/>
      <c r="V87" s="74"/>
      <c r="W87" s="6">
        <f>'CLIENT ENROLLMENT DISCHARGE '!M87</f>
        <v>0</v>
      </c>
      <c r="X87" s="76"/>
      <c r="Y87" s="180"/>
    </row>
    <row r="88" spans="1:25" ht="50.1" customHeight="1" x14ac:dyDescent="0.25">
      <c r="A88" s="5">
        <f t="shared" si="2"/>
        <v>74</v>
      </c>
      <c r="B88" s="10">
        <f>'CLIENT ENROLLMENT DISCHARGE '!B88</f>
        <v>0</v>
      </c>
      <c r="C88" s="4">
        <f>'CLIENT ENROLLMENT DISCHARGE '!C88</f>
        <v>0</v>
      </c>
      <c r="D88" s="52"/>
      <c r="E88" s="53"/>
      <c r="F88" s="52"/>
      <c r="G88" s="53"/>
      <c r="H88" s="63"/>
      <c r="I88" s="116"/>
      <c r="J88" s="3"/>
      <c r="K88" s="71"/>
      <c r="L88" s="53"/>
      <c r="M88" s="2"/>
      <c r="N88" s="1"/>
      <c r="O88" s="218">
        <f t="shared" si="3"/>
        <v>0</v>
      </c>
      <c r="P88" s="218">
        <f>O88+OCT!P88</f>
        <v>0</v>
      </c>
      <c r="Q88" s="60"/>
      <c r="R88" s="52"/>
      <c r="S88" s="66"/>
      <c r="T88" s="65"/>
      <c r="U88" s="68"/>
      <c r="V88" s="59"/>
      <c r="W88" s="6">
        <f>'CLIENT ENROLLMENT DISCHARGE '!M88</f>
        <v>0</v>
      </c>
      <c r="X88" s="76"/>
      <c r="Y88" s="180"/>
    </row>
    <row r="89" spans="1:25" ht="50.1" customHeight="1" x14ac:dyDescent="0.25">
      <c r="A89" s="5">
        <f t="shared" si="2"/>
        <v>75</v>
      </c>
      <c r="B89" s="10">
        <f>'CLIENT ENROLLMENT DISCHARGE '!B89</f>
        <v>0</v>
      </c>
      <c r="C89" s="4">
        <f>'CLIENT ENROLLMENT DISCHARGE '!C89</f>
        <v>0</v>
      </c>
      <c r="D89" s="51"/>
      <c r="E89" s="52"/>
      <c r="F89" s="51"/>
      <c r="G89" s="52"/>
      <c r="H89" s="62"/>
      <c r="I89" s="115"/>
      <c r="J89" s="9"/>
      <c r="K89" s="70"/>
      <c r="L89" s="52"/>
      <c r="M89" s="8"/>
      <c r="N89" s="7"/>
      <c r="O89" s="218">
        <f t="shared" si="3"/>
        <v>0</v>
      </c>
      <c r="P89" s="218">
        <f>O89+OCT!P89</f>
        <v>0</v>
      </c>
      <c r="Q89" s="59"/>
      <c r="R89" s="51"/>
      <c r="S89" s="65"/>
      <c r="T89" s="64"/>
      <c r="U89" s="67"/>
      <c r="V89" s="74"/>
      <c r="W89" s="6">
        <f>'CLIENT ENROLLMENT DISCHARGE '!M89</f>
        <v>0</v>
      </c>
      <c r="X89" s="76"/>
      <c r="Y89" s="180"/>
    </row>
    <row r="90" spans="1:25" ht="50.1" customHeight="1" x14ac:dyDescent="0.25">
      <c r="A90" s="5">
        <f t="shared" si="2"/>
        <v>76</v>
      </c>
      <c r="B90" s="10">
        <f>'CLIENT ENROLLMENT DISCHARGE '!B90</f>
        <v>0</v>
      </c>
      <c r="C90" s="4">
        <f>'CLIENT ENROLLMENT DISCHARGE '!C90</f>
        <v>0</v>
      </c>
      <c r="D90" s="52"/>
      <c r="E90" s="53"/>
      <c r="F90" s="52"/>
      <c r="G90" s="53"/>
      <c r="H90" s="63"/>
      <c r="I90" s="116"/>
      <c r="J90" s="3"/>
      <c r="K90" s="71"/>
      <c r="L90" s="53"/>
      <c r="M90" s="2"/>
      <c r="N90" s="1"/>
      <c r="O90" s="218">
        <f t="shared" si="3"/>
        <v>0</v>
      </c>
      <c r="P90" s="218">
        <f>O90+OCT!P90</f>
        <v>0</v>
      </c>
      <c r="Q90" s="60"/>
      <c r="R90" s="52"/>
      <c r="S90" s="66"/>
      <c r="T90" s="65"/>
      <c r="U90" s="68"/>
      <c r="V90" s="75"/>
      <c r="W90" s="6">
        <f>'CLIENT ENROLLMENT DISCHARGE '!M90</f>
        <v>0</v>
      </c>
      <c r="X90" s="76"/>
      <c r="Y90" s="180"/>
    </row>
    <row r="91" spans="1:25" ht="50.1" customHeight="1" x14ac:dyDescent="0.25">
      <c r="A91" s="5">
        <f t="shared" si="2"/>
        <v>77</v>
      </c>
      <c r="B91" s="10">
        <f>'CLIENT ENROLLMENT DISCHARGE '!B91</f>
        <v>0</v>
      </c>
      <c r="C91" s="4">
        <f>'CLIENT ENROLLMENT DISCHARGE '!C91</f>
        <v>0</v>
      </c>
      <c r="D91" s="51"/>
      <c r="E91" s="52"/>
      <c r="F91" s="51"/>
      <c r="G91" s="52"/>
      <c r="H91" s="62"/>
      <c r="I91" s="115"/>
      <c r="J91" s="9"/>
      <c r="K91" s="70"/>
      <c r="L91" s="52"/>
      <c r="M91" s="8"/>
      <c r="N91" s="7"/>
      <c r="O91" s="218">
        <f t="shared" si="3"/>
        <v>0</v>
      </c>
      <c r="P91" s="218">
        <f>O91+OCT!P91</f>
        <v>0</v>
      </c>
      <c r="Q91" s="59"/>
      <c r="R91" s="51"/>
      <c r="S91" s="65"/>
      <c r="T91" s="64"/>
      <c r="U91" s="67"/>
      <c r="V91" s="74"/>
      <c r="W91" s="6">
        <f>'CLIENT ENROLLMENT DISCHARGE '!M91</f>
        <v>0</v>
      </c>
      <c r="X91" s="76"/>
      <c r="Y91" s="180"/>
    </row>
    <row r="92" spans="1:25" ht="50.1" customHeight="1" x14ac:dyDescent="0.25">
      <c r="A92" s="5">
        <f t="shared" si="2"/>
        <v>78</v>
      </c>
      <c r="B92" s="10">
        <f>'CLIENT ENROLLMENT DISCHARGE '!B92</f>
        <v>0</v>
      </c>
      <c r="C92" s="4">
        <f>'CLIENT ENROLLMENT DISCHARGE '!C92</f>
        <v>0</v>
      </c>
      <c r="D92" s="52"/>
      <c r="E92" s="53"/>
      <c r="F92" s="52"/>
      <c r="G92" s="53"/>
      <c r="H92" s="63"/>
      <c r="I92" s="116"/>
      <c r="J92" s="3"/>
      <c r="K92" s="71"/>
      <c r="L92" s="53"/>
      <c r="M92" s="2"/>
      <c r="N92" s="1"/>
      <c r="O92" s="218">
        <f t="shared" si="3"/>
        <v>0</v>
      </c>
      <c r="P92" s="218">
        <f>O92+OCT!P92</f>
        <v>0</v>
      </c>
      <c r="Q92" s="60"/>
      <c r="R92" s="52"/>
      <c r="S92" s="66"/>
      <c r="T92" s="65"/>
      <c r="U92" s="68"/>
      <c r="V92" s="59"/>
      <c r="W92" s="6">
        <f>'CLIENT ENROLLMENT DISCHARGE '!M92</f>
        <v>0</v>
      </c>
      <c r="X92" s="76"/>
      <c r="Y92" s="180"/>
    </row>
    <row r="93" spans="1:25" ht="50.1" customHeight="1" x14ac:dyDescent="0.25">
      <c r="A93" s="5">
        <f t="shared" si="2"/>
        <v>79</v>
      </c>
      <c r="B93" s="10">
        <f>'CLIENT ENROLLMENT DISCHARGE '!B93</f>
        <v>0</v>
      </c>
      <c r="C93" s="4">
        <f>'CLIENT ENROLLMENT DISCHARGE '!C93</f>
        <v>0</v>
      </c>
      <c r="D93" s="51"/>
      <c r="E93" s="52"/>
      <c r="F93" s="51"/>
      <c r="G93" s="52"/>
      <c r="H93" s="62"/>
      <c r="I93" s="115"/>
      <c r="J93" s="9"/>
      <c r="K93" s="70"/>
      <c r="L93" s="52"/>
      <c r="M93" s="8"/>
      <c r="N93" s="7"/>
      <c r="O93" s="218">
        <f t="shared" si="3"/>
        <v>0</v>
      </c>
      <c r="P93" s="218">
        <f>O93+OCT!P93</f>
        <v>0</v>
      </c>
      <c r="Q93" s="59"/>
      <c r="R93" s="51"/>
      <c r="S93" s="65"/>
      <c r="T93" s="64"/>
      <c r="U93" s="67"/>
      <c r="V93" s="74"/>
      <c r="W93" s="6">
        <f>'CLIENT ENROLLMENT DISCHARGE '!M93</f>
        <v>0</v>
      </c>
      <c r="X93" s="76"/>
      <c r="Y93" s="180"/>
    </row>
    <row r="94" spans="1:25" ht="50.1" customHeight="1" x14ac:dyDescent="0.25">
      <c r="A94" s="5">
        <f t="shared" si="2"/>
        <v>80</v>
      </c>
      <c r="B94" s="10">
        <f>'CLIENT ENROLLMENT DISCHARGE '!B94</f>
        <v>0</v>
      </c>
      <c r="C94" s="4">
        <f>'CLIENT ENROLLMENT DISCHARGE '!C94</f>
        <v>0</v>
      </c>
      <c r="D94" s="52"/>
      <c r="E94" s="53"/>
      <c r="F94" s="52"/>
      <c r="G94" s="53"/>
      <c r="H94" s="63"/>
      <c r="I94" s="116"/>
      <c r="J94" s="3"/>
      <c r="K94" s="71"/>
      <c r="L94" s="53"/>
      <c r="M94" s="2"/>
      <c r="N94" s="1"/>
      <c r="O94" s="218">
        <f t="shared" si="3"/>
        <v>0</v>
      </c>
      <c r="P94" s="218">
        <f>O94+OCT!P94</f>
        <v>0</v>
      </c>
      <c r="Q94" s="60"/>
      <c r="R94" s="52"/>
      <c r="S94" s="66"/>
      <c r="T94" s="65"/>
      <c r="U94" s="68"/>
      <c r="V94" s="59"/>
      <c r="W94" s="6">
        <f>'CLIENT ENROLLMENT DISCHARGE '!M94</f>
        <v>0</v>
      </c>
      <c r="X94" s="76"/>
      <c r="Y94" s="180"/>
    </row>
    <row r="95" spans="1:25" ht="50.1" customHeight="1" x14ac:dyDescent="0.25">
      <c r="A95" s="5">
        <f t="shared" si="2"/>
        <v>81</v>
      </c>
      <c r="B95" s="10">
        <f>'CLIENT ENROLLMENT DISCHARGE '!B95</f>
        <v>0</v>
      </c>
      <c r="C95" s="4">
        <f>'CLIENT ENROLLMENT DISCHARGE '!C95</f>
        <v>0</v>
      </c>
      <c r="D95" s="51"/>
      <c r="E95" s="52"/>
      <c r="F95" s="51"/>
      <c r="G95" s="52"/>
      <c r="H95" s="62"/>
      <c r="I95" s="115"/>
      <c r="J95" s="9"/>
      <c r="K95" s="70"/>
      <c r="L95" s="52"/>
      <c r="M95" s="8"/>
      <c r="N95" s="7"/>
      <c r="O95" s="218">
        <f t="shared" si="3"/>
        <v>0</v>
      </c>
      <c r="P95" s="218">
        <f>O95+OCT!P95</f>
        <v>0</v>
      </c>
      <c r="Q95" s="59"/>
      <c r="R95" s="51"/>
      <c r="S95" s="65"/>
      <c r="T95" s="64"/>
      <c r="U95" s="67"/>
      <c r="V95" s="74"/>
      <c r="W95" s="6">
        <f>'CLIENT ENROLLMENT DISCHARGE '!M95</f>
        <v>0</v>
      </c>
      <c r="X95" s="76"/>
      <c r="Y95" s="180"/>
    </row>
    <row r="96" spans="1:25" ht="50.1" customHeight="1" x14ac:dyDescent="0.25">
      <c r="A96" s="5">
        <f t="shared" si="2"/>
        <v>82</v>
      </c>
      <c r="B96" s="10">
        <f>'CLIENT ENROLLMENT DISCHARGE '!B96</f>
        <v>0</v>
      </c>
      <c r="C96" s="4">
        <f>'CLIENT ENROLLMENT DISCHARGE '!C96</f>
        <v>0</v>
      </c>
      <c r="D96" s="52"/>
      <c r="E96" s="53"/>
      <c r="F96" s="52"/>
      <c r="G96" s="53"/>
      <c r="H96" s="63"/>
      <c r="I96" s="116"/>
      <c r="J96" s="3"/>
      <c r="K96" s="71"/>
      <c r="L96" s="53"/>
      <c r="M96" s="2"/>
      <c r="N96" s="1"/>
      <c r="O96" s="218">
        <f t="shared" si="3"/>
        <v>0</v>
      </c>
      <c r="P96" s="218">
        <f>O96+OCT!P96</f>
        <v>0</v>
      </c>
      <c r="Q96" s="60"/>
      <c r="R96" s="52"/>
      <c r="S96" s="66"/>
      <c r="T96" s="65"/>
      <c r="U96" s="68"/>
      <c r="V96" s="59"/>
      <c r="W96" s="6">
        <f>'CLIENT ENROLLMENT DISCHARGE '!M96</f>
        <v>0</v>
      </c>
      <c r="X96" s="76"/>
      <c r="Y96" s="180"/>
    </row>
    <row r="97" spans="1:25" ht="50.1" customHeight="1" x14ac:dyDescent="0.25">
      <c r="A97" s="5">
        <f t="shared" si="2"/>
        <v>83</v>
      </c>
      <c r="B97" s="10">
        <f>'CLIENT ENROLLMENT DISCHARGE '!B97</f>
        <v>0</v>
      </c>
      <c r="C97" s="4">
        <f>'CLIENT ENROLLMENT DISCHARGE '!C97</f>
        <v>0</v>
      </c>
      <c r="D97" s="51"/>
      <c r="E97" s="52"/>
      <c r="F97" s="51"/>
      <c r="G97" s="52"/>
      <c r="H97" s="62"/>
      <c r="I97" s="115"/>
      <c r="J97" s="9"/>
      <c r="K97" s="70"/>
      <c r="L97" s="52"/>
      <c r="M97" s="8"/>
      <c r="N97" s="7"/>
      <c r="O97" s="218">
        <f t="shared" si="3"/>
        <v>0</v>
      </c>
      <c r="P97" s="218">
        <f>O97+OCT!P97</f>
        <v>0</v>
      </c>
      <c r="Q97" s="59"/>
      <c r="R97" s="51"/>
      <c r="S97" s="65"/>
      <c r="T97" s="64"/>
      <c r="U97" s="67"/>
      <c r="V97" s="74"/>
      <c r="W97" s="6">
        <f>'CLIENT ENROLLMENT DISCHARGE '!M97</f>
        <v>0</v>
      </c>
      <c r="X97" s="76"/>
      <c r="Y97" s="180"/>
    </row>
    <row r="98" spans="1:25" ht="50.1" customHeight="1" x14ac:dyDescent="0.25">
      <c r="A98" s="5">
        <f t="shared" si="2"/>
        <v>84</v>
      </c>
      <c r="B98" s="10">
        <f>'CLIENT ENROLLMENT DISCHARGE '!B98</f>
        <v>0</v>
      </c>
      <c r="C98" s="4">
        <f>'CLIENT ENROLLMENT DISCHARGE '!C98</f>
        <v>0</v>
      </c>
      <c r="D98" s="52"/>
      <c r="E98" s="53"/>
      <c r="F98" s="52"/>
      <c r="G98" s="53"/>
      <c r="H98" s="63"/>
      <c r="I98" s="116"/>
      <c r="J98" s="3"/>
      <c r="K98" s="71"/>
      <c r="L98" s="53"/>
      <c r="M98" s="2"/>
      <c r="N98" s="1"/>
      <c r="O98" s="218">
        <f t="shared" si="3"/>
        <v>0</v>
      </c>
      <c r="P98" s="218">
        <f>O98+OCT!P98</f>
        <v>0</v>
      </c>
      <c r="Q98" s="60"/>
      <c r="R98" s="52"/>
      <c r="S98" s="66"/>
      <c r="T98" s="65"/>
      <c r="U98" s="68"/>
      <c r="V98" s="59"/>
      <c r="W98" s="6">
        <f>'CLIENT ENROLLMENT DISCHARGE '!M98</f>
        <v>0</v>
      </c>
      <c r="X98" s="76"/>
      <c r="Y98" s="180"/>
    </row>
    <row r="99" spans="1:25" ht="50.1" customHeight="1" x14ac:dyDescent="0.25">
      <c r="A99" s="5">
        <f t="shared" si="2"/>
        <v>85</v>
      </c>
      <c r="B99" s="10">
        <f>'CLIENT ENROLLMENT DISCHARGE '!B99</f>
        <v>0</v>
      </c>
      <c r="C99" s="4">
        <f>'CLIENT ENROLLMENT DISCHARGE '!C99</f>
        <v>0</v>
      </c>
      <c r="D99" s="51"/>
      <c r="E99" s="52"/>
      <c r="F99" s="51"/>
      <c r="G99" s="52"/>
      <c r="H99" s="62"/>
      <c r="I99" s="115"/>
      <c r="J99" s="9"/>
      <c r="K99" s="70"/>
      <c r="L99" s="52"/>
      <c r="M99" s="8"/>
      <c r="N99" s="7"/>
      <c r="O99" s="218">
        <f t="shared" si="3"/>
        <v>0</v>
      </c>
      <c r="P99" s="218">
        <f>O99+OCT!P99</f>
        <v>0</v>
      </c>
      <c r="Q99" s="59"/>
      <c r="R99" s="51"/>
      <c r="S99" s="65"/>
      <c r="T99" s="64"/>
      <c r="U99" s="67"/>
      <c r="V99" s="74"/>
      <c r="W99" s="6">
        <f>'CLIENT ENROLLMENT DISCHARGE '!M99</f>
        <v>0</v>
      </c>
      <c r="X99" s="76"/>
      <c r="Y99" s="180"/>
    </row>
    <row r="100" spans="1:25" ht="50.1" customHeight="1" x14ac:dyDescent="0.25">
      <c r="A100" s="5">
        <f t="shared" si="2"/>
        <v>86</v>
      </c>
      <c r="B100" s="10">
        <f>'CLIENT ENROLLMENT DISCHARGE '!B100</f>
        <v>0</v>
      </c>
      <c r="C100" s="4">
        <f>'CLIENT ENROLLMENT DISCHARGE '!C100</f>
        <v>0</v>
      </c>
      <c r="D100" s="52"/>
      <c r="E100" s="53"/>
      <c r="F100" s="52"/>
      <c r="G100" s="53"/>
      <c r="H100" s="63"/>
      <c r="I100" s="116"/>
      <c r="J100" s="3"/>
      <c r="K100" s="71"/>
      <c r="L100" s="53"/>
      <c r="M100" s="2"/>
      <c r="N100" s="1"/>
      <c r="O100" s="218">
        <f t="shared" si="3"/>
        <v>0</v>
      </c>
      <c r="P100" s="218">
        <f>O100+OCT!P100</f>
        <v>0</v>
      </c>
      <c r="Q100" s="60"/>
      <c r="R100" s="52"/>
      <c r="S100" s="66"/>
      <c r="T100" s="65"/>
      <c r="U100" s="68"/>
      <c r="V100" s="75"/>
      <c r="W100" s="6">
        <f>'CLIENT ENROLLMENT DISCHARGE '!M100</f>
        <v>0</v>
      </c>
      <c r="X100" s="76"/>
      <c r="Y100" s="180"/>
    </row>
    <row r="101" spans="1:25" ht="50.1" customHeight="1" x14ac:dyDescent="0.25">
      <c r="A101" s="5">
        <f t="shared" si="2"/>
        <v>87</v>
      </c>
      <c r="B101" s="10">
        <f>'CLIENT ENROLLMENT DISCHARGE '!B101</f>
        <v>0</v>
      </c>
      <c r="C101" s="4">
        <f>'CLIENT ENROLLMENT DISCHARGE '!C101</f>
        <v>0</v>
      </c>
      <c r="D101" s="51"/>
      <c r="E101" s="52"/>
      <c r="F101" s="51"/>
      <c r="G101" s="52"/>
      <c r="H101" s="62"/>
      <c r="I101" s="115"/>
      <c r="J101" s="9"/>
      <c r="K101" s="70"/>
      <c r="L101" s="52"/>
      <c r="M101" s="8"/>
      <c r="N101" s="7"/>
      <c r="O101" s="218">
        <f t="shared" si="3"/>
        <v>0</v>
      </c>
      <c r="P101" s="218">
        <f>O101+OCT!P101</f>
        <v>0</v>
      </c>
      <c r="Q101" s="59"/>
      <c r="R101" s="51"/>
      <c r="S101" s="65"/>
      <c r="T101" s="64"/>
      <c r="U101" s="67"/>
      <c r="V101" s="74"/>
      <c r="W101" s="6">
        <f>'CLIENT ENROLLMENT DISCHARGE '!M101</f>
        <v>0</v>
      </c>
      <c r="X101" s="76"/>
      <c r="Y101" s="180"/>
    </row>
    <row r="102" spans="1:25" ht="50.1" customHeight="1" x14ac:dyDescent="0.25">
      <c r="A102" s="5">
        <f t="shared" si="2"/>
        <v>88</v>
      </c>
      <c r="B102" s="10">
        <f>'CLIENT ENROLLMENT DISCHARGE '!B102</f>
        <v>0</v>
      </c>
      <c r="C102" s="4">
        <f>'CLIENT ENROLLMENT DISCHARGE '!C102</f>
        <v>0</v>
      </c>
      <c r="D102" s="52"/>
      <c r="E102" s="53"/>
      <c r="F102" s="52"/>
      <c r="G102" s="53"/>
      <c r="H102" s="63"/>
      <c r="I102" s="116"/>
      <c r="J102" s="3"/>
      <c r="K102" s="71"/>
      <c r="L102" s="53"/>
      <c r="M102" s="2"/>
      <c r="N102" s="1"/>
      <c r="O102" s="218">
        <f t="shared" si="3"/>
        <v>0</v>
      </c>
      <c r="P102" s="218">
        <f>O102+OCT!P102</f>
        <v>0</v>
      </c>
      <c r="Q102" s="60"/>
      <c r="R102" s="52"/>
      <c r="S102" s="66"/>
      <c r="T102" s="65"/>
      <c r="U102" s="68"/>
      <c r="V102" s="59"/>
      <c r="W102" s="6">
        <f>'CLIENT ENROLLMENT DISCHARGE '!M102</f>
        <v>0</v>
      </c>
      <c r="X102" s="76"/>
      <c r="Y102" s="180"/>
    </row>
    <row r="103" spans="1:25" ht="50.1" customHeight="1" x14ac:dyDescent="0.25">
      <c r="A103" s="5">
        <f t="shared" si="2"/>
        <v>89</v>
      </c>
      <c r="B103" s="10">
        <f>'CLIENT ENROLLMENT DISCHARGE '!B103</f>
        <v>0</v>
      </c>
      <c r="C103" s="4">
        <f>'CLIENT ENROLLMENT DISCHARGE '!C103</f>
        <v>0</v>
      </c>
      <c r="D103" s="51"/>
      <c r="E103" s="52"/>
      <c r="F103" s="51"/>
      <c r="G103" s="52"/>
      <c r="H103" s="62"/>
      <c r="I103" s="115"/>
      <c r="J103" s="9"/>
      <c r="K103" s="70"/>
      <c r="L103" s="52"/>
      <c r="M103" s="8"/>
      <c r="N103" s="7"/>
      <c r="O103" s="218">
        <f t="shared" si="3"/>
        <v>0</v>
      </c>
      <c r="P103" s="218">
        <f>O103+OCT!P103</f>
        <v>0</v>
      </c>
      <c r="Q103" s="59"/>
      <c r="R103" s="51"/>
      <c r="S103" s="65"/>
      <c r="T103" s="64"/>
      <c r="U103" s="67"/>
      <c r="V103" s="74"/>
      <c r="W103" s="6">
        <f>'CLIENT ENROLLMENT DISCHARGE '!M103</f>
        <v>0</v>
      </c>
      <c r="X103" s="76"/>
      <c r="Y103" s="180"/>
    </row>
    <row r="104" spans="1:25" ht="50.1" customHeight="1" x14ac:dyDescent="0.25">
      <c r="A104" s="5">
        <f t="shared" si="2"/>
        <v>90</v>
      </c>
      <c r="B104" s="10">
        <f>'CLIENT ENROLLMENT DISCHARGE '!B104</f>
        <v>0</v>
      </c>
      <c r="C104" s="4">
        <f>'CLIENT ENROLLMENT DISCHARGE '!C104</f>
        <v>0</v>
      </c>
      <c r="D104" s="52"/>
      <c r="E104" s="53"/>
      <c r="F104" s="52"/>
      <c r="G104" s="53"/>
      <c r="H104" s="63"/>
      <c r="I104" s="116"/>
      <c r="J104" s="3"/>
      <c r="K104" s="71"/>
      <c r="L104" s="53"/>
      <c r="M104" s="2"/>
      <c r="N104" s="1"/>
      <c r="O104" s="218">
        <f t="shared" si="3"/>
        <v>0</v>
      </c>
      <c r="P104" s="218">
        <f>O104+OCT!P104</f>
        <v>0</v>
      </c>
      <c r="Q104" s="60"/>
      <c r="R104" s="52"/>
      <c r="S104" s="66"/>
      <c r="T104" s="65"/>
      <c r="U104" s="68"/>
      <c r="V104" s="59"/>
      <c r="W104" s="6">
        <f>'CLIENT ENROLLMENT DISCHARGE '!M104</f>
        <v>0</v>
      </c>
      <c r="X104" s="76"/>
      <c r="Y104" s="180"/>
    </row>
    <row r="105" spans="1:25" ht="50.1" customHeight="1" x14ac:dyDescent="0.25">
      <c r="A105" s="5">
        <f t="shared" si="2"/>
        <v>91</v>
      </c>
      <c r="B105" s="10">
        <f>'CLIENT ENROLLMENT DISCHARGE '!B105</f>
        <v>0</v>
      </c>
      <c r="C105" s="4">
        <f>'CLIENT ENROLLMENT DISCHARGE '!C105</f>
        <v>0</v>
      </c>
      <c r="D105" s="51"/>
      <c r="E105" s="52"/>
      <c r="F105" s="51"/>
      <c r="G105" s="52"/>
      <c r="H105" s="62"/>
      <c r="I105" s="115"/>
      <c r="J105" s="9"/>
      <c r="K105" s="70"/>
      <c r="L105" s="52"/>
      <c r="M105" s="8"/>
      <c r="N105" s="7"/>
      <c r="O105" s="218">
        <f t="shared" si="3"/>
        <v>0</v>
      </c>
      <c r="P105" s="218">
        <f>O105+OCT!P105</f>
        <v>0</v>
      </c>
      <c r="Q105" s="59"/>
      <c r="R105" s="51"/>
      <c r="S105" s="65"/>
      <c r="T105" s="64"/>
      <c r="U105" s="67"/>
      <c r="V105" s="74"/>
      <c r="W105" s="6">
        <f>'CLIENT ENROLLMENT DISCHARGE '!M105</f>
        <v>0</v>
      </c>
      <c r="X105" s="76"/>
      <c r="Y105" s="180"/>
    </row>
    <row r="106" spans="1:25" ht="50.1" customHeight="1" x14ac:dyDescent="0.25">
      <c r="A106" s="5">
        <f t="shared" si="2"/>
        <v>92</v>
      </c>
      <c r="B106" s="10">
        <f>'CLIENT ENROLLMENT DISCHARGE '!B106</f>
        <v>0</v>
      </c>
      <c r="C106" s="4">
        <f>'CLIENT ENROLLMENT DISCHARGE '!C106</f>
        <v>0</v>
      </c>
      <c r="D106" s="52"/>
      <c r="E106" s="53"/>
      <c r="F106" s="52"/>
      <c r="G106" s="53"/>
      <c r="H106" s="63"/>
      <c r="I106" s="116"/>
      <c r="J106" s="3"/>
      <c r="K106" s="71"/>
      <c r="L106" s="53"/>
      <c r="M106" s="2"/>
      <c r="N106" s="1"/>
      <c r="O106" s="218">
        <f t="shared" si="3"/>
        <v>0</v>
      </c>
      <c r="P106" s="218">
        <f>O106+OCT!P106</f>
        <v>0</v>
      </c>
      <c r="Q106" s="60"/>
      <c r="R106" s="52"/>
      <c r="S106" s="66"/>
      <c r="T106" s="65"/>
      <c r="U106" s="68"/>
      <c r="V106" s="59"/>
      <c r="W106" s="6">
        <f>'CLIENT ENROLLMENT DISCHARGE '!M106</f>
        <v>0</v>
      </c>
      <c r="X106" s="76"/>
      <c r="Y106" s="180"/>
    </row>
    <row r="107" spans="1:25" ht="50.1" customHeight="1" x14ac:dyDescent="0.25">
      <c r="A107" s="5">
        <f t="shared" si="2"/>
        <v>93</v>
      </c>
      <c r="B107" s="10">
        <f>'CLIENT ENROLLMENT DISCHARGE '!B107</f>
        <v>0</v>
      </c>
      <c r="C107" s="4">
        <f>'CLIENT ENROLLMENT DISCHARGE '!C107</f>
        <v>0</v>
      </c>
      <c r="D107" s="51"/>
      <c r="E107" s="52"/>
      <c r="F107" s="51"/>
      <c r="G107" s="52"/>
      <c r="H107" s="62"/>
      <c r="I107" s="115"/>
      <c r="J107" s="9"/>
      <c r="K107" s="70"/>
      <c r="L107" s="52"/>
      <c r="M107" s="8"/>
      <c r="N107" s="7"/>
      <c r="O107" s="218">
        <f t="shared" si="3"/>
        <v>0</v>
      </c>
      <c r="P107" s="218">
        <f>O107+OCT!P107</f>
        <v>0</v>
      </c>
      <c r="Q107" s="59"/>
      <c r="R107" s="51"/>
      <c r="S107" s="65"/>
      <c r="T107" s="64"/>
      <c r="U107" s="67"/>
      <c r="V107" s="74"/>
      <c r="W107" s="6">
        <f>'CLIENT ENROLLMENT DISCHARGE '!M107</f>
        <v>0</v>
      </c>
      <c r="X107" s="76"/>
      <c r="Y107" s="180"/>
    </row>
    <row r="108" spans="1:25" ht="50.1" customHeight="1" x14ac:dyDescent="0.25">
      <c r="A108" s="5">
        <f t="shared" si="2"/>
        <v>94</v>
      </c>
      <c r="B108" s="10">
        <f>'CLIENT ENROLLMENT DISCHARGE '!B108</f>
        <v>0</v>
      </c>
      <c r="C108" s="4">
        <f>'CLIENT ENROLLMENT DISCHARGE '!C108</f>
        <v>0</v>
      </c>
      <c r="D108" s="52"/>
      <c r="E108" s="53"/>
      <c r="F108" s="52"/>
      <c r="G108" s="53"/>
      <c r="H108" s="63"/>
      <c r="I108" s="116"/>
      <c r="J108" s="3"/>
      <c r="K108" s="71"/>
      <c r="L108" s="53"/>
      <c r="M108" s="2"/>
      <c r="N108" s="1"/>
      <c r="O108" s="218">
        <f t="shared" si="3"/>
        <v>0</v>
      </c>
      <c r="P108" s="218">
        <f>O108+OCT!P108</f>
        <v>0</v>
      </c>
      <c r="Q108" s="60"/>
      <c r="R108" s="52"/>
      <c r="S108" s="66"/>
      <c r="T108" s="65"/>
      <c r="U108" s="68"/>
      <c r="V108" s="59"/>
      <c r="W108" s="6">
        <f>'CLIENT ENROLLMENT DISCHARGE '!M108</f>
        <v>0</v>
      </c>
      <c r="X108" s="76"/>
      <c r="Y108" s="180"/>
    </row>
    <row r="109" spans="1:25" ht="50.1" customHeight="1" x14ac:dyDescent="0.25">
      <c r="A109" s="5">
        <f t="shared" si="2"/>
        <v>95</v>
      </c>
      <c r="B109" s="10">
        <f>'CLIENT ENROLLMENT DISCHARGE '!B109</f>
        <v>0</v>
      </c>
      <c r="C109" s="4">
        <f>'CLIENT ENROLLMENT DISCHARGE '!C109</f>
        <v>0</v>
      </c>
      <c r="D109" s="51"/>
      <c r="E109" s="52"/>
      <c r="F109" s="51"/>
      <c r="G109" s="52"/>
      <c r="H109" s="62"/>
      <c r="I109" s="115"/>
      <c r="J109" s="9"/>
      <c r="K109" s="70"/>
      <c r="L109" s="52"/>
      <c r="M109" s="8"/>
      <c r="N109" s="7"/>
      <c r="O109" s="218">
        <f t="shared" si="3"/>
        <v>0</v>
      </c>
      <c r="P109" s="218">
        <f>O109+OCT!P109</f>
        <v>0</v>
      </c>
      <c r="Q109" s="59"/>
      <c r="R109" s="51"/>
      <c r="S109" s="65"/>
      <c r="T109" s="64"/>
      <c r="U109" s="67"/>
      <c r="V109" s="74"/>
      <c r="W109" s="6">
        <f>'CLIENT ENROLLMENT DISCHARGE '!M109</f>
        <v>0</v>
      </c>
      <c r="X109" s="76"/>
      <c r="Y109" s="180"/>
    </row>
    <row r="110" spans="1:25" ht="50.1" customHeight="1" x14ac:dyDescent="0.25">
      <c r="A110" s="5">
        <f t="shared" si="2"/>
        <v>96</v>
      </c>
      <c r="B110" s="10">
        <f>'CLIENT ENROLLMENT DISCHARGE '!B110</f>
        <v>0</v>
      </c>
      <c r="C110" s="4">
        <f>'CLIENT ENROLLMENT DISCHARGE '!C110</f>
        <v>0</v>
      </c>
      <c r="D110" s="52"/>
      <c r="E110" s="53"/>
      <c r="F110" s="52"/>
      <c r="G110" s="53"/>
      <c r="H110" s="63"/>
      <c r="I110" s="116"/>
      <c r="J110" s="3"/>
      <c r="K110" s="71"/>
      <c r="L110" s="53"/>
      <c r="M110" s="2"/>
      <c r="N110" s="1"/>
      <c r="O110" s="218">
        <f t="shared" si="3"/>
        <v>0</v>
      </c>
      <c r="P110" s="218">
        <f>O110+OCT!P110</f>
        <v>0</v>
      </c>
      <c r="Q110" s="60"/>
      <c r="R110" s="52"/>
      <c r="S110" s="66"/>
      <c r="T110" s="65"/>
      <c r="U110" s="68"/>
      <c r="V110" s="75"/>
      <c r="W110" s="6">
        <f>'CLIENT ENROLLMENT DISCHARGE '!M110</f>
        <v>0</v>
      </c>
      <c r="X110" s="76"/>
      <c r="Y110" s="180"/>
    </row>
    <row r="111" spans="1:25" ht="50.1" customHeight="1" x14ac:dyDescent="0.25">
      <c r="A111" s="5">
        <f t="shared" si="2"/>
        <v>97</v>
      </c>
      <c r="B111" s="10">
        <f>'CLIENT ENROLLMENT DISCHARGE '!B111</f>
        <v>0</v>
      </c>
      <c r="C111" s="4">
        <f>'CLIENT ENROLLMENT DISCHARGE '!C111</f>
        <v>0</v>
      </c>
      <c r="D111" s="51"/>
      <c r="E111" s="52"/>
      <c r="F111" s="51"/>
      <c r="G111" s="52"/>
      <c r="H111" s="62"/>
      <c r="I111" s="115"/>
      <c r="J111" s="9"/>
      <c r="K111" s="70"/>
      <c r="L111" s="52"/>
      <c r="M111" s="8"/>
      <c r="N111" s="7"/>
      <c r="O111" s="218">
        <f t="shared" si="3"/>
        <v>0</v>
      </c>
      <c r="P111" s="218">
        <f>O111+OCT!P111</f>
        <v>0</v>
      </c>
      <c r="Q111" s="59"/>
      <c r="R111" s="51"/>
      <c r="S111" s="65"/>
      <c r="T111" s="64"/>
      <c r="U111" s="67"/>
      <c r="V111" s="74"/>
      <c r="W111" s="6">
        <f>'CLIENT ENROLLMENT DISCHARGE '!M111</f>
        <v>0</v>
      </c>
      <c r="X111" s="76"/>
      <c r="Y111" s="180"/>
    </row>
    <row r="112" spans="1:25" ht="50.1" customHeight="1" x14ac:dyDescent="0.25">
      <c r="A112" s="5">
        <f t="shared" si="2"/>
        <v>98</v>
      </c>
      <c r="B112" s="10">
        <f>'CLIENT ENROLLMENT DISCHARGE '!B112</f>
        <v>0</v>
      </c>
      <c r="C112" s="4">
        <f>'CLIENT ENROLLMENT DISCHARGE '!C112</f>
        <v>0</v>
      </c>
      <c r="D112" s="52"/>
      <c r="E112" s="53"/>
      <c r="F112" s="52"/>
      <c r="G112" s="53"/>
      <c r="H112" s="63"/>
      <c r="I112" s="116"/>
      <c r="J112" s="3"/>
      <c r="K112" s="71"/>
      <c r="L112" s="53"/>
      <c r="M112" s="2"/>
      <c r="N112" s="1"/>
      <c r="O112" s="218">
        <f t="shared" si="3"/>
        <v>0</v>
      </c>
      <c r="P112" s="218">
        <f>O112+OCT!P112</f>
        <v>0</v>
      </c>
      <c r="Q112" s="60"/>
      <c r="R112" s="52"/>
      <c r="S112" s="66"/>
      <c r="T112" s="65"/>
      <c r="U112" s="68"/>
      <c r="V112" s="59"/>
      <c r="W112" s="6">
        <f>'CLIENT ENROLLMENT DISCHARGE '!M112</f>
        <v>0</v>
      </c>
      <c r="X112" s="76"/>
      <c r="Y112" s="180"/>
    </row>
    <row r="113" spans="1:25" ht="50.1" customHeight="1" x14ac:dyDescent="0.25">
      <c r="A113" s="5">
        <f t="shared" si="2"/>
        <v>99</v>
      </c>
      <c r="B113" s="10">
        <f>'CLIENT ENROLLMENT DISCHARGE '!B113</f>
        <v>0</v>
      </c>
      <c r="C113" s="4">
        <f>'CLIENT ENROLLMENT DISCHARGE '!C113</f>
        <v>0</v>
      </c>
      <c r="D113" s="51"/>
      <c r="E113" s="52"/>
      <c r="F113" s="51"/>
      <c r="G113" s="52"/>
      <c r="H113" s="62"/>
      <c r="I113" s="115"/>
      <c r="J113" s="9"/>
      <c r="K113" s="70"/>
      <c r="L113" s="52"/>
      <c r="M113" s="8"/>
      <c r="N113" s="7"/>
      <c r="O113" s="218">
        <f t="shared" si="3"/>
        <v>0</v>
      </c>
      <c r="P113" s="218">
        <f>O113+OCT!P113</f>
        <v>0</v>
      </c>
      <c r="Q113" s="59"/>
      <c r="R113" s="51"/>
      <c r="S113" s="65"/>
      <c r="T113" s="64"/>
      <c r="U113" s="67"/>
      <c r="V113" s="74"/>
      <c r="W113" s="6">
        <f>'CLIENT ENROLLMENT DISCHARGE '!M113</f>
        <v>0</v>
      </c>
      <c r="X113" s="76"/>
      <c r="Y113" s="180"/>
    </row>
    <row r="114" spans="1:25" ht="50.1" customHeight="1" x14ac:dyDescent="0.25">
      <c r="A114" s="5">
        <f t="shared" si="2"/>
        <v>100</v>
      </c>
      <c r="B114" s="10">
        <f>'CLIENT ENROLLMENT DISCHARGE '!B114</f>
        <v>0</v>
      </c>
      <c r="C114" s="4">
        <f>'CLIENT ENROLLMENT DISCHARGE '!C114</f>
        <v>0</v>
      </c>
      <c r="D114" s="52"/>
      <c r="E114" s="53"/>
      <c r="F114" s="52"/>
      <c r="G114" s="53"/>
      <c r="H114" s="63"/>
      <c r="I114" s="116"/>
      <c r="J114" s="3"/>
      <c r="K114" s="71"/>
      <c r="L114" s="53"/>
      <c r="M114" s="2"/>
      <c r="N114" s="1"/>
      <c r="O114" s="218">
        <f t="shared" si="3"/>
        <v>0</v>
      </c>
      <c r="P114" s="218">
        <f>O114+OCT!P114</f>
        <v>0</v>
      </c>
      <c r="Q114" s="60"/>
      <c r="R114" s="52"/>
      <c r="S114" s="66"/>
      <c r="T114" s="65"/>
      <c r="U114" s="68"/>
      <c r="V114" s="59"/>
      <c r="W114" s="6">
        <f>'CLIENT ENROLLMENT DISCHARGE '!M114</f>
        <v>0</v>
      </c>
      <c r="X114" s="76"/>
      <c r="Y114" s="180"/>
    </row>
    <row r="115" spans="1:25" ht="50.1" customHeight="1" x14ac:dyDescent="0.25">
      <c r="A115" s="5">
        <f t="shared" si="2"/>
        <v>101</v>
      </c>
      <c r="B115" s="10">
        <f>'CLIENT ENROLLMENT DISCHARGE '!B115</f>
        <v>0</v>
      </c>
      <c r="C115" s="4">
        <f>'CLIENT ENROLLMENT DISCHARGE '!C115</f>
        <v>0</v>
      </c>
      <c r="D115" s="51"/>
      <c r="E115" s="52"/>
      <c r="F115" s="51"/>
      <c r="G115" s="52"/>
      <c r="H115" s="62"/>
      <c r="I115" s="115"/>
      <c r="J115" s="9"/>
      <c r="K115" s="70"/>
      <c r="L115" s="52"/>
      <c r="M115" s="8"/>
      <c r="N115" s="7"/>
      <c r="O115" s="218">
        <f t="shared" si="3"/>
        <v>0</v>
      </c>
      <c r="P115" s="218">
        <f>O115+OCT!P115</f>
        <v>0</v>
      </c>
      <c r="Q115" s="59"/>
      <c r="R115" s="51"/>
      <c r="S115" s="65"/>
      <c r="T115" s="64"/>
      <c r="U115" s="67"/>
      <c r="V115" s="74"/>
      <c r="W115" s="6">
        <f>'CLIENT ENROLLMENT DISCHARGE '!M115</f>
        <v>0</v>
      </c>
      <c r="X115" s="76"/>
      <c r="Y115" s="180"/>
    </row>
    <row r="116" spans="1:25" ht="50.1" customHeight="1" x14ac:dyDescent="0.25">
      <c r="A116" s="5">
        <f t="shared" si="2"/>
        <v>102</v>
      </c>
      <c r="B116" s="10">
        <f>'CLIENT ENROLLMENT DISCHARGE '!B116</f>
        <v>0</v>
      </c>
      <c r="C116" s="4">
        <f>'CLIENT ENROLLMENT DISCHARGE '!C116</f>
        <v>0</v>
      </c>
      <c r="D116" s="52"/>
      <c r="E116" s="53"/>
      <c r="F116" s="52"/>
      <c r="G116" s="53"/>
      <c r="H116" s="63"/>
      <c r="I116" s="116"/>
      <c r="J116" s="3"/>
      <c r="K116" s="71"/>
      <c r="L116" s="53"/>
      <c r="M116" s="2"/>
      <c r="N116" s="1"/>
      <c r="O116" s="218">
        <f t="shared" si="3"/>
        <v>0</v>
      </c>
      <c r="P116" s="218">
        <f>O116+OCT!P116</f>
        <v>0</v>
      </c>
      <c r="Q116" s="60"/>
      <c r="R116" s="52"/>
      <c r="S116" s="66"/>
      <c r="T116" s="65"/>
      <c r="U116" s="68"/>
      <c r="V116" s="59"/>
      <c r="W116" s="6">
        <f>'CLIENT ENROLLMENT DISCHARGE '!M116</f>
        <v>0</v>
      </c>
      <c r="X116" s="76"/>
      <c r="Y116" s="180"/>
    </row>
    <row r="117" spans="1:25" ht="50.1" customHeight="1" x14ac:dyDescent="0.25">
      <c r="A117" s="5">
        <f t="shared" si="2"/>
        <v>103</v>
      </c>
      <c r="B117" s="10">
        <f>'CLIENT ENROLLMENT DISCHARGE '!B117</f>
        <v>0</v>
      </c>
      <c r="C117" s="4">
        <f>'CLIENT ENROLLMENT DISCHARGE '!C117</f>
        <v>0</v>
      </c>
      <c r="D117" s="51"/>
      <c r="E117" s="52"/>
      <c r="F117" s="51"/>
      <c r="G117" s="52"/>
      <c r="H117" s="62"/>
      <c r="I117" s="115"/>
      <c r="J117" s="9"/>
      <c r="K117" s="70"/>
      <c r="L117" s="52"/>
      <c r="M117" s="8"/>
      <c r="N117" s="7"/>
      <c r="O117" s="218">
        <f t="shared" si="3"/>
        <v>0</v>
      </c>
      <c r="P117" s="218">
        <f>O117+OCT!P117</f>
        <v>0</v>
      </c>
      <c r="Q117" s="59"/>
      <c r="R117" s="51"/>
      <c r="S117" s="65"/>
      <c r="T117" s="64"/>
      <c r="U117" s="67"/>
      <c r="V117" s="74"/>
      <c r="W117" s="6">
        <f>'CLIENT ENROLLMENT DISCHARGE '!M117</f>
        <v>0</v>
      </c>
      <c r="X117" s="76"/>
      <c r="Y117" s="180"/>
    </row>
    <row r="118" spans="1:25" ht="50.1" customHeight="1" x14ac:dyDescent="0.25">
      <c r="A118" s="5">
        <f t="shared" si="2"/>
        <v>104</v>
      </c>
      <c r="B118" s="10">
        <f>'CLIENT ENROLLMENT DISCHARGE '!B118</f>
        <v>0</v>
      </c>
      <c r="C118" s="4">
        <f>'CLIENT ENROLLMENT DISCHARGE '!C118</f>
        <v>0</v>
      </c>
      <c r="D118" s="52"/>
      <c r="E118" s="53"/>
      <c r="F118" s="52"/>
      <c r="G118" s="53"/>
      <c r="H118" s="63"/>
      <c r="I118" s="116"/>
      <c r="J118" s="3"/>
      <c r="K118" s="71"/>
      <c r="L118" s="53"/>
      <c r="M118" s="2"/>
      <c r="N118" s="1"/>
      <c r="O118" s="218">
        <f t="shared" si="3"/>
        <v>0</v>
      </c>
      <c r="P118" s="218">
        <f>O118+OCT!P118</f>
        <v>0</v>
      </c>
      <c r="Q118" s="60"/>
      <c r="R118" s="52"/>
      <c r="S118" s="66"/>
      <c r="T118" s="65"/>
      <c r="U118" s="68"/>
      <c r="V118" s="59"/>
      <c r="W118" s="6">
        <f>'CLIENT ENROLLMENT DISCHARGE '!M118</f>
        <v>0</v>
      </c>
      <c r="X118" s="76"/>
      <c r="Y118" s="180"/>
    </row>
    <row r="119" spans="1:25" ht="50.1" customHeight="1" x14ac:dyDescent="0.25">
      <c r="A119" s="5">
        <f t="shared" si="2"/>
        <v>105</v>
      </c>
      <c r="B119" s="10">
        <f>'CLIENT ENROLLMENT DISCHARGE '!B119</f>
        <v>0</v>
      </c>
      <c r="C119" s="4">
        <f>'CLIENT ENROLLMENT DISCHARGE '!C119</f>
        <v>0</v>
      </c>
      <c r="D119" s="51"/>
      <c r="E119" s="52"/>
      <c r="F119" s="51"/>
      <c r="G119" s="52"/>
      <c r="H119" s="62"/>
      <c r="I119" s="115"/>
      <c r="J119" s="9"/>
      <c r="K119" s="70"/>
      <c r="L119" s="52"/>
      <c r="M119" s="8"/>
      <c r="N119" s="7"/>
      <c r="O119" s="218">
        <f t="shared" si="3"/>
        <v>0</v>
      </c>
      <c r="P119" s="218">
        <f>O119+OCT!P119</f>
        <v>0</v>
      </c>
      <c r="Q119" s="59"/>
      <c r="R119" s="51"/>
      <c r="S119" s="65"/>
      <c r="T119" s="64"/>
      <c r="U119" s="67"/>
      <c r="V119" s="74"/>
      <c r="W119" s="6">
        <f>'CLIENT ENROLLMENT DISCHARGE '!M119</f>
        <v>0</v>
      </c>
      <c r="X119" s="76"/>
      <c r="Y119" s="180"/>
    </row>
    <row r="120" spans="1:25" ht="50.1" customHeight="1" x14ac:dyDescent="0.25">
      <c r="A120" s="5">
        <f t="shared" si="2"/>
        <v>106</v>
      </c>
      <c r="B120" s="10">
        <f>'CLIENT ENROLLMENT DISCHARGE '!B120</f>
        <v>0</v>
      </c>
      <c r="C120" s="4">
        <f>'CLIENT ENROLLMENT DISCHARGE '!C120</f>
        <v>0</v>
      </c>
      <c r="D120" s="52"/>
      <c r="E120" s="53"/>
      <c r="F120" s="52"/>
      <c r="G120" s="53"/>
      <c r="H120" s="63"/>
      <c r="I120" s="116"/>
      <c r="J120" s="3"/>
      <c r="K120" s="71"/>
      <c r="L120" s="53"/>
      <c r="M120" s="2"/>
      <c r="N120" s="1"/>
      <c r="O120" s="218">
        <f t="shared" si="3"/>
        <v>0</v>
      </c>
      <c r="P120" s="218">
        <f>O120+OCT!P120</f>
        <v>0</v>
      </c>
      <c r="Q120" s="60"/>
      <c r="R120" s="52"/>
      <c r="S120" s="66"/>
      <c r="T120" s="65"/>
      <c r="U120" s="68"/>
      <c r="V120" s="75"/>
      <c r="W120" s="6">
        <f>'CLIENT ENROLLMENT DISCHARGE '!M120</f>
        <v>0</v>
      </c>
      <c r="X120" s="76"/>
      <c r="Y120" s="180"/>
    </row>
    <row r="121" spans="1:25" ht="50.1" customHeight="1" x14ac:dyDescent="0.25">
      <c r="A121" s="5">
        <f t="shared" si="2"/>
        <v>107</v>
      </c>
      <c r="B121" s="10">
        <f>'CLIENT ENROLLMENT DISCHARGE '!B121</f>
        <v>0</v>
      </c>
      <c r="C121" s="4">
        <f>'CLIENT ENROLLMENT DISCHARGE '!C121</f>
        <v>0</v>
      </c>
      <c r="D121" s="51"/>
      <c r="E121" s="52"/>
      <c r="F121" s="51"/>
      <c r="G121" s="52"/>
      <c r="H121" s="62"/>
      <c r="I121" s="115"/>
      <c r="J121" s="9"/>
      <c r="K121" s="70"/>
      <c r="L121" s="52"/>
      <c r="M121" s="8"/>
      <c r="N121" s="7"/>
      <c r="O121" s="218">
        <f t="shared" si="3"/>
        <v>0</v>
      </c>
      <c r="P121" s="218">
        <f>O121+OCT!P121</f>
        <v>0</v>
      </c>
      <c r="Q121" s="59"/>
      <c r="R121" s="51"/>
      <c r="S121" s="65"/>
      <c r="T121" s="64"/>
      <c r="U121" s="67"/>
      <c r="V121" s="74"/>
      <c r="W121" s="6">
        <f>'CLIENT ENROLLMENT DISCHARGE '!M121</f>
        <v>0</v>
      </c>
      <c r="X121" s="76"/>
      <c r="Y121" s="180"/>
    </row>
    <row r="122" spans="1:25" ht="50.1" customHeight="1" x14ac:dyDescent="0.25">
      <c r="A122" s="5">
        <f t="shared" si="2"/>
        <v>108</v>
      </c>
      <c r="B122" s="10">
        <f>'CLIENT ENROLLMENT DISCHARGE '!B122</f>
        <v>0</v>
      </c>
      <c r="C122" s="4">
        <f>'CLIENT ENROLLMENT DISCHARGE '!C122</f>
        <v>0</v>
      </c>
      <c r="D122" s="52"/>
      <c r="E122" s="53"/>
      <c r="F122" s="52"/>
      <c r="G122" s="53"/>
      <c r="H122" s="63"/>
      <c r="I122" s="116"/>
      <c r="J122" s="3"/>
      <c r="K122" s="71"/>
      <c r="L122" s="53"/>
      <c r="M122" s="2"/>
      <c r="N122" s="1"/>
      <c r="O122" s="218">
        <f t="shared" si="3"/>
        <v>0</v>
      </c>
      <c r="P122" s="218">
        <f>O122+OCT!P122</f>
        <v>0</v>
      </c>
      <c r="Q122" s="60"/>
      <c r="R122" s="52"/>
      <c r="S122" s="66"/>
      <c r="T122" s="65"/>
      <c r="U122" s="68"/>
      <c r="V122" s="59"/>
      <c r="W122" s="6">
        <f>'CLIENT ENROLLMENT DISCHARGE '!M122</f>
        <v>0</v>
      </c>
      <c r="X122" s="76"/>
      <c r="Y122" s="180"/>
    </row>
    <row r="123" spans="1:25" ht="50.1" customHeight="1" x14ac:dyDescent="0.25">
      <c r="A123" s="5">
        <f t="shared" si="2"/>
        <v>109</v>
      </c>
      <c r="B123" s="10">
        <f>'CLIENT ENROLLMENT DISCHARGE '!B123</f>
        <v>0</v>
      </c>
      <c r="C123" s="4">
        <f>'CLIENT ENROLLMENT DISCHARGE '!C123</f>
        <v>0</v>
      </c>
      <c r="D123" s="51"/>
      <c r="E123" s="52"/>
      <c r="F123" s="51"/>
      <c r="G123" s="52"/>
      <c r="H123" s="62"/>
      <c r="I123" s="115"/>
      <c r="J123" s="9"/>
      <c r="K123" s="70"/>
      <c r="L123" s="52"/>
      <c r="M123" s="8"/>
      <c r="N123" s="7"/>
      <c r="O123" s="218">
        <f t="shared" si="3"/>
        <v>0</v>
      </c>
      <c r="P123" s="218">
        <f>O123+OCT!P123</f>
        <v>0</v>
      </c>
      <c r="Q123" s="59"/>
      <c r="R123" s="51"/>
      <c r="S123" s="65"/>
      <c r="T123" s="64"/>
      <c r="U123" s="67"/>
      <c r="V123" s="74"/>
      <c r="W123" s="6">
        <f>'CLIENT ENROLLMENT DISCHARGE '!M123</f>
        <v>0</v>
      </c>
      <c r="X123" s="76"/>
      <c r="Y123" s="180"/>
    </row>
    <row r="124" spans="1:25" ht="50.1" customHeight="1" x14ac:dyDescent="0.25">
      <c r="A124" s="5">
        <f t="shared" si="2"/>
        <v>110</v>
      </c>
      <c r="B124" s="10">
        <f>'CLIENT ENROLLMENT DISCHARGE '!B124</f>
        <v>0</v>
      </c>
      <c r="C124" s="4">
        <f>'CLIENT ENROLLMENT DISCHARGE '!C124</f>
        <v>0</v>
      </c>
      <c r="D124" s="52"/>
      <c r="E124" s="53"/>
      <c r="F124" s="52"/>
      <c r="G124" s="53"/>
      <c r="H124" s="63"/>
      <c r="I124" s="116"/>
      <c r="J124" s="3"/>
      <c r="K124" s="71"/>
      <c r="L124" s="53"/>
      <c r="M124" s="2"/>
      <c r="N124" s="1"/>
      <c r="O124" s="218">
        <f t="shared" si="3"/>
        <v>0</v>
      </c>
      <c r="P124" s="218">
        <f>O124+OCT!P124</f>
        <v>0</v>
      </c>
      <c r="Q124" s="60"/>
      <c r="R124" s="52"/>
      <c r="S124" s="66"/>
      <c r="T124" s="65"/>
      <c r="U124" s="68"/>
      <c r="V124" s="59"/>
      <c r="W124" s="6">
        <f>'CLIENT ENROLLMENT DISCHARGE '!M124</f>
        <v>0</v>
      </c>
      <c r="X124" s="76"/>
      <c r="Y124" s="180"/>
    </row>
    <row r="125" spans="1:25" ht="50.1" customHeight="1" x14ac:dyDescent="0.25">
      <c r="A125" s="5">
        <f t="shared" si="2"/>
        <v>111</v>
      </c>
      <c r="B125" s="10">
        <f>'CLIENT ENROLLMENT DISCHARGE '!B125</f>
        <v>0</v>
      </c>
      <c r="C125" s="4">
        <f>'CLIENT ENROLLMENT DISCHARGE '!C125</f>
        <v>0</v>
      </c>
      <c r="D125" s="51"/>
      <c r="E125" s="52"/>
      <c r="F125" s="51"/>
      <c r="G125" s="52"/>
      <c r="H125" s="62"/>
      <c r="I125" s="115"/>
      <c r="J125" s="9"/>
      <c r="K125" s="70"/>
      <c r="L125" s="52"/>
      <c r="M125" s="8"/>
      <c r="N125" s="7"/>
      <c r="O125" s="218">
        <f t="shared" si="3"/>
        <v>0</v>
      </c>
      <c r="P125" s="218">
        <f>O125+OCT!P125</f>
        <v>0</v>
      </c>
      <c r="Q125" s="59"/>
      <c r="R125" s="51"/>
      <c r="S125" s="65"/>
      <c r="T125" s="64"/>
      <c r="U125" s="67"/>
      <c r="V125" s="74"/>
      <c r="W125" s="6">
        <f>'CLIENT ENROLLMENT DISCHARGE '!M125</f>
        <v>0</v>
      </c>
      <c r="X125" s="76"/>
      <c r="Y125" s="180"/>
    </row>
    <row r="126" spans="1:25" ht="50.1" customHeight="1" x14ac:dyDescent="0.25">
      <c r="A126" s="5">
        <f t="shared" si="2"/>
        <v>112</v>
      </c>
      <c r="B126" s="10">
        <f>'CLIENT ENROLLMENT DISCHARGE '!B126</f>
        <v>0</v>
      </c>
      <c r="C126" s="4">
        <f>'CLIENT ENROLLMENT DISCHARGE '!C126</f>
        <v>0</v>
      </c>
      <c r="D126" s="52"/>
      <c r="E126" s="53"/>
      <c r="F126" s="52"/>
      <c r="G126" s="53"/>
      <c r="H126" s="63"/>
      <c r="I126" s="116"/>
      <c r="J126" s="3"/>
      <c r="K126" s="71"/>
      <c r="L126" s="53"/>
      <c r="M126" s="2"/>
      <c r="N126" s="1"/>
      <c r="O126" s="218">
        <f t="shared" si="3"/>
        <v>0</v>
      </c>
      <c r="P126" s="218">
        <f>O126+OCT!P126</f>
        <v>0</v>
      </c>
      <c r="Q126" s="60"/>
      <c r="R126" s="52"/>
      <c r="S126" s="66"/>
      <c r="T126" s="65"/>
      <c r="U126" s="68"/>
      <c r="V126" s="59"/>
      <c r="W126" s="6">
        <f>'CLIENT ENROLLMENT DISCHARGE '!M126</f>
        <v>0</v>
      </c>
      <c r="X126" s="76"/>
      <c r="Y126" s="180"/>
    </row>
    <row r="127" spans="1:25" ht="50.1" customHeight="1" x14ac:dyDescent="0.25">
      <c r="A127" s="5">
        <f t="shared" si="2"/>
        <v>113</v>
      </c>
      <c r="B127" s="10">
        <f>'CLIENT ENROLLMENT DISCHARGE '!B127</f>
        <v>0</v>
      </c>
      <c r="C127" s="4">
        <f>'CLIENT ENROLLMENT DISCHARGE '!C127</f>
        <v>0</v>
      </c>
      <c r="D127" s="51"/>
      <c r="E127" s="52"/>
      <c r="F127" s="51"/>
      <c r="G127" s="52"/>
      <c r="H127" s="62"/>
      <c r="I127" s="115"/>
      <c r="J127" s="9"/>
      <c r="K127" s="70"/>
      <c r="L127" s="52"/>
      <c r="M127" s="8"/>
      <c r="N127" s="7"/>
      <c r="O127" s="218">
        <f t="shared" si="3"/>
        <v>0</v>
      </c>
      <c r="P127" s="218">
        <f>O127+OCT!P127</f>
        <v>0</v>
      </c>
      <c r="Q127" s="59"/>
      <c r="R127" s="51"/>
      <c r="S127" s="65"/>
      <c r="T127" s="64"/>
      <c r="U127" s="67"/>
      <c r="V127" s="74"/>
      <c r="W127" s="6">
        <f>'CLIENT ENROLLMENT DISCHARGE '!M127</f>
        <v>0</v>
      </c>
      <c r="X127" s="76"/>
      <c r="Y127" s="180"/>
    </row>
    <row r="128" spans="1:25" ht="50.1" customHeight="1" x14ac:dyDescent="0.25">
      <c r="A128" s="5">
        <f t="shared" si="2"/>
        <v>114</v>
      </c>
      <c r="B128" s="10">
        <f>'CLIENT ENROLLMENT DISCHARGE '!B128</f>
        <v>0</v>
      </c>
      <c r="C128" s="4">
        <f>'CLIENT ENROLLMENT DISCHARGE '!C128</f>
        <v>0</v>
      </c>
      <c r="D128" s="52"/>
      <c r="E128" s="53"/>
      <c r="F128" s="52"/>
      <c r="G128" s="53"/>
      <c r="H128" s="63"/>
      <c r="I128" s="116"/>
      <c r="J128" s="3"/>
      <c r="K128" s="71"/>
      <c r="L128" s="53"/>
      <c r="M128" s="2"/>
      <c r="N128" s="1"/>
      <c r="O128" s="218">
        <f t="shared" si="3"/>
        <v>0</v>
      </c>
      <c r="P128" s="218">
        <f>O128+OCT!P128</f>
        <v>0</v>
      </c>
      <c r="Q128" s="60"/>
      <c r="R128" s="52"/>
      <c r="S128" s="66"/>
      <c r="T128" s="65"/>
      <c r="U128" s="68"/>
      <c r="V128" s="59"/>
      <c r="W128" s="6">
        <f>'CLIENT ENROLLMENT DISCHARGE '!M128</f>
        <v>0</v>
      </c>
      <c r="X128" s="76"/>
      <c r="Y128" s="180"/>
    </row>
    <row r="129" spans="1:25" ht="50.1" customHeight="1" x14ac:dyDescent="0.25">
      <c r="A129" s="5">
        <f t="shared" si="2"/>
        <v>115</v>
      </c>
      <c r="B129" s="10">
        <f>'CLIENT ENROLLMENT DISCHARGE '!B129</f>
        <v>0</v>
      </c>
      <c r="C129" s="4">
        <f>'CLIENT ENROLLMENT DISCHARGE '!C129</f>
        <v>0</v>
      </c>
      <c r="D129" s="51"/>
      <c r="E129" s="52"/>
      <c r="F129" s="51"/>
      <c r="G129" s="52"/>
      <c r="H129" s="62"/>
      <c r="I129" s="115"/>
      <c r="J129" s="9"/>
      <c r="K129" s="70"/>
      <c r="L129" s="52"/>
      <c r="M129" s="8"/>
      <c r="N129" s="7"/>
      <c r="O129" s="218">
        <f t="shared" si="3"/>
        <v>0</v>
      </c>
      <c r="P129" s="218">
        <f>O129+OCT!P129</f>
        <v>0</v>
      </c>
      <c r="Q129" s="59"/>
      <c r="R129" s="51"/>
      <c r="S129" s="65"/>
      <c r="T129" s="64"/>
      <c r="U129" s="67"/>
      <c r="V129" s="74"/>
      <c r="W129" s="6">
        <f>'CLIENT ENROLLMENT DISCHARGE '!M129</f>
        <v>0</v>
      </c>
      <c r="X129" s="76"/>
      <c r="Y129" s="180"/>
    </row>
    <row r="130" spans="1:25" ht="50.1" customHeight="1" x14ac:dyDescent="0.25">
      <c r="A130" s="5">
        <f t="shared" si="2"/>
        <v>116</v>
      </c>
      <c r="B130" s="10">
        <f>'CLIENT ENROLLMENT DISCHARGE '!B130</f>
        <v>0</v>
      </c>
      <c r="C130" s="4">
        <f>'CLIENT ENROLLMENT DISCHARGE '!C130</f>
        <v>0</v>
      </c>
      <c r="D130" s="52"/>
      <c r="E130" s="53"/>
      <c r="F130" s="52"/>
      <c r="G130" s="53"/>
      <c r="H130" s="63"/>
      <c r="I130" s="116"/>
      <c r="J130" s="3"/>
      <c r="K130" s="71"/>
      <c r="L130" s="53"/>
      <c r="M130" s="2"/>
      <c r="N130" s="1"/>
      <c r="O130" s="218">
        <f t="shared" si="3"/>
        <v>0</v>
      </c>
      <c r="P130" s="218">
        <f>O130+OCT!P130</f>
        <v>0</v>
      </c>
      <c r="Q130" s="60"/>
      <c r="R130" s="52"/>
      <c r="S130" s="66"/>
      <c r="T130" s="65"/>
      <c r="U130" s="68"/>
      <c r="V130" s="75"/>
      <c r="W130" s="6">
        <f>'CLIENT ENROLLMENT DISCHARGE '!M130</f>
        <v>0</v>
      </c>
      <c r="X130" s="76"/>
      <c r="Y130" s="180"/>
    </row>
    <row r="131" spans="1:25" ht="50.1" customHeight="1" x14ac:dyDescent="0.25">
      <c r="A131" s="5">
        <f t="shared" si="2"/>
        <v>117</v>
      </c>
      <c r="B131" s="10">
        <f>'CLIENT ENROLLMENT DISCHARGE '!B131</f>
        <v>0</v>
      </c>
      <c r="C131" s="4">
        <f>'CLIENT ENROLLMENT DISCHARGE '!C131</f>
        <v>0</v>
      </c>
      <c r="D131" s="51"/>
      <c r="E131" s="52"/>
      <c r="F131" s="51"/>
      <c r="G131" s="52"/>
      <c r="H131" s="62"/>
      <c r="I131" s="115"/>
      <c r="J131" s="9"/>
      <c r="K131" s="70"/>
      <c r="L131" s="52"/>
      <c r="M131" s="8"/>
      <c r="N131" s="7"/>
      <c r="O131" s="218">
        <f t="shared" si="3"/>
        <v>0</v>
      </c>
      <c r="P131" s="218">
        <f>O131+OCT!P131</f>
        <v>0</v>
      </c>
      <c r="Q131" s="59"/>
      <c r="R131" s="51"/>
      <c r="S131" s="65"/>
      <c r="T131" s="64"/>
      <c r="U131" s="67"/>
      <c r="V131" s="74"/>
      <c r="W131" s="6">
        <f>'CLIENT ENROLLMENT DISCHARGE '!M131</f>
        <v>0</v>
      </c>
      <c r="X131" s="76"/>
      <c r="Y131" s="180"/>
    </row>
    <row r="132" spans="1:25" ht="50.1" customHeight="1" x14ac:dyDescent="0.25">
      <c r="A132" s="5">
        <f t="shared" si="2"/>
        <v>118</v>
      </c>
      <c r="B132" s="10">
        <f>'CLIENT ENROLLMENT DISCHARGE '!B132</f>
        <v>0</v>
      </c>
      <c r="C132" s="4">
        <f>'CLIENT ENROLLMENT DISCHARGE '!C132</f>
        <v>0</v>
      </c>
      <c r="D132" s="52"/>
      <c r="E132" s="53"/>
      <c r="F132" s="52"/>
      <c r="G132" s="53"/>
      <c r="H132" s="63"/>
      <c r="I132" s="116"/>
      <c r="J132" s="3"/>
      <c r="K132" s="71"/>
      <c r="L132" s="53"/>
      <c r="M132" s="2"/>
      <c r="N132" s="1"/>
      <c r="O132" s="218">
        <f t="shared" si="3"/>
        <v>0</v>
      </c>
      <c r="P132" s="218">
        <f>O132+OCT!P132</f>
        <v>0</v>
      </c>
      <c r="Q132" s="60"/>
      <c r="R132" s="52"/>
      <c r="S132" s="66"/>
      <c r="T132" s="65"/>
      <c r="U132" s="68"/>
      <c r="V132" s="59"/>
      <c r="W132" s="6">
        <f>'CLIENT ENROLLMENT DISCHARGE '!M132</f>
        <v>0</v>
      </c>
      <c r="X132" s="76"/>
      <c r="Y132" s="180"/>
    </row>
    <row r="133" spans="1:25" ht="50.1" customHeight="1" x14ac:dyDescent="0.25">
      <c r="A133" s="5">
        <f t="shared" si="2"/>
        <v>119</v>
      </c>
      <c r="B133" s="10">
        <f>'CLIENT ENROLLMENT DISCHARGE '!B133</f>
        <v>0</v>
      </c>
      <c r="C133" s="4">
        <f>'CLIENT ENROLLMENT DISCHARGE '!C133</f>
        <v>0</v>
      </c>
      <c r="D133" s="51"/>
      <c r="E133" s="52"/>
      <c r="F133" s="51"/>
      <c r="G133" s="52"/>
      <c r="H133" s="62"/>
      <c r="I133" s="115"/>
      <c r="J133" s="9"/>
      <c r="K133" s="70"/>
      <c r="L133" s="52"/>
      <c r="M133" s="8"/>
      <c r="N133" s="7"/>
      <c r="O133" s="218">
        <f t="shared" si="3"/>
        <v>0</v>
      </c>
      <c r="P133" s="218">
        <f>O133+OCT!P133</f>
        <v>0</v>
      </c>
      <c r="Q133" s="59"/>
      <c r="R133" s="51"/>
      <c r="S133" s="65"/>
      <c r="T133" s="64"/>
      <c r="U133" s="67"/>
      <c r="V133" s="74"/>
      <c r="W133" s="6">
        <f>'CLIENT ENROLLMENT DISCHARGE '!M133</f>
        <v>0</v>
      </c>
      <c r="X133" s="76"/>
      <c r="Y133" s="180"/>
    </row>
    <row r="134" spans="1:25" ht="50.1" customHeight="1" x14ac:dyDescent="0.25">
      <c r="A134" s="5">
        <f t="shared" si="2"/>
        <v>120</v>
      </c>
      <c r="B134" s="10">
        <f>'CLIENT ENROLLMENT DISCHARGE '!B134</f>
        <v>0</v>
      </c>
      <c r="C134" s="4">
        <f>'CLIENT ENROLLMENT DISCHARGE '!C134</f>
        <v>0</v>
      </c>
      <c r="D134" s="52"/>
      <c r="E134" s="53"/>
      <c r="F134" s="52"/>
      <c r="G134" s="53"/>
      <c r="H134" s="63"/>
      <c r="I134" s="116"/>
      <c r="J134" s="3"/>
      <c r="K134" s="71"/>
      <c r="L134" s="53"/>
      <c r="M134" s="2"/>
      <c r="N134" s="1"/>
      <c r="O134" s="218">
        <f t="shared" si="3"/>
        <v>0</v>
      </c>
      <c r="P134" s="218">
        <f>O134+OCT!P134</f>
        <v>0</v>
      </c>
      <c r="Q134" s="60"/>
      <c r="R134" s="52"/>
      <c r="S134" s="66"/>
      <c r="T134" s="65"/>
      <c r="U134" s="68"/>
      <c r="V134" s="59"/>
      <c r="W134" s="6">
        <f>'CLIENT ENROLLMENT DISCHARGE '!M134</f>
        <v>0</v>
      </c>
      <c r="X134" s="76"/>
      <c r="Y134" s="180"/>
    </row>
    <row r="135" spans="1:25" ht="50.1" customHeight="1" x14ac:dyDescent="0.25">
      <c r="A135" s="5">
        <f t="shared" si="2"/>
        <v>121</v>
      </c>
      <c r="B135" s="10">
        <f>'CLIENT ENROLLMENT DISCHARGE '!B135</f>
        <v>0</v>
      </c>
      <c r="C135" s="4">
        <f>'CLIENT ENROLLMENT DISCHARGE '!C135</f>
        <v>0</v>
      </c>
      <c r="D135" s="51"/>
      <c r="E135" s="52"/>
      <c r="F135" s="51"/>
      <c r="G135" s="52"/>
      <c r="H135" s="62"/>
      <c r="I135" s="115"/>
      <c r="J135" s="9"/>
      <c r="K135" s="70"/>
      <c r="L135" s="52"/>
      <c r="M135" s="8"/>
      <c r="N135" s="7"/>
      <c r="O135" s="218">
        <f t="shared" si="3"/>
        <v>0</v>
      </c>
      <c r="P135" s="218">
        <f>O135+OCT!P135</f>
        <v>0</v>
      </c>
      <c r="Q135" s="59"/>
      <c r="R135" s="51"/>
      <c r="S135" s="65"/>
      <c r="T135" s="64"/>
      <c r="U135" s="67"/>
      <c r="V135" s="74"/>
      <c r="W135" s="6">
        <f>'CLIENT ENROLLMENT DISCHARGE '!M135</f>
        <v>0</v>
      </c>
      <c r="X135" s="76"/>
      <c r="Y135" s="180"/>
    </row>
    <row r="136" spans="1:25" ht="50.1" customHeight="1" x14ac:dyDescent="0.25">
      <c r="A136" s="5">
        <f t="shared" si="2"/>
        <v>122</v>
      </c>
      <c r="B136" s="10">
        <f>'CLIENT ENROLLMENT DISCHARGE '!B136</f>
        <v>0</v>
      </c>
      <c r="C136" s="4">
        <f>'CLIENT ENROLLMENT DISCHARGE '!C136</f>
        <v>0</v>
      </c>
      <c r="D136" s="52"/>
      <c r="E136" s="53"/>
      <c r="F136" s="52"/>
      <c r="G136" s="53"/>
      <c r="H136" s="63"/>
      <c r="I136" s="116"/>
      <c r="J136" s="3"/>
      <c r="K136" s="71"/>
      <c r="L136" s="53"/>
      <c r="M136" s="2"/>
      <c r="N136" s="1"/>
      <c r="O136" s="218">
        <f t="shared" si="3"/>
        <v>0</v>
      </c>
      <c r="P136" s="218">
        <f>O136+OCT!P136</f>
        <v>0</v>
      </c>
      <c r="Q136" s="60"/>
      <c r="R136" s="52"/>
      <c r="S136" s="66"/>
      <c r="T136" s="65"/>
      <c r="U136" s="68"/>
      <c r="V136" s="59"/>
      <c r="W136" s="6">
        <f>'CLIENT ENROLLMENT DISCHARGE '!M136</f>
        <v>0</v>
      </c>
      <c r="X136" s="76"/>
      <c r="Y136" s="180"/>
    </row>
    <row r="137" spans="1:25" ht="50.1" customHeight="1" x14ac:dyDescent="0.25">
      <c r="A137" s="5">
        <f t="shared" si="2"/>
        <v>123</v>
      </c>
      <c r="B137" s="10">
        <f>'CLIENT ENROLLMENT DISCHARGE '!B137</f>
        <v>0</v>
      </c>
      <c r="C137" s="4">
        <f>'CLIENT ENROLLMENT DISCHARGE '!C137</f>
        <v>0</v>
      </c>
      <c r="D137" s="51"/>
      <c r="E137" s="52"/>
      <c r="F137" s="51"/>
      <c r="G137" s="52"/>
      <c r="H137" s="62"/>
      <c r="I137" s="115"/>
      <c r="J137" s="9"/>
      <c r="K137" s="70"/>
      <c r="L137" s="52"/>
      <c r="M137" s="8"/>
      <c r="N137" s="7"/>
      <c r="O137" s="218">
        <f t="shared" si="3"/>
        <v>0</v>
      </c>
      <c r="P137" s="218">
        <f>O137+OCT!P137</f>
        <v>0</v>
      </c>
      <c r="Q137" s="59"/>
      <c r="R137" s="51"/>
      <c r="S137" s="65"/>
      <c r="T137" s="64"/>
      <c r="U137" s="67"/>
      <c r="V137" s="74"/>
      <c r="W137" s="6">
        <f>'CLIENT ENROLLMENT DISCHARGE '!M137</f>
        <v>0</v>
      </c>
      <c r="X137" s="76"/>
      <c r="Y137" s="180"/>
    </row>
    <row r="138" spans="1:25" ht="50.1" customHeight="1" x14ac:dyDescent="0.25">
      <c r="A138" s="5">
        <f t="shared" si="2"/>
        <v>124</v>
      </c>
      <c r="B138" s="10">
        <f>'CLIENT ENROLLMENT DISCHARGE '!B138</f>
        <v>0</v>
      </c>
      <c r="C138" s="4">
        <f>'CLIENT ENROLLMENT DISCHARGE '!C138</f>
        <v>0</v>
      </c>
      <c r="D138" s="52"/>
      <c r="E138" s="53"/>
      <c r="F138" s="52"/>
      <c r="G138" s="53"/>
      <c r="H138" s="63"/>
      <c r="I138" s="116"/>
      <c r="J138" s="3"/>
      <c r="K138" s="71"/>
      <c r="L138" s="53"/>
      <c r="M138" s="2"/>
      <c r="N138" s="1"/>
      <c r="O138" s="218">
        <f t="shared" si="3"/>
        <v>0</v>
      </c>
      <c r="P138" s="218">
        <f>O138+OCT!P138</f>
        <v>0</v>
      </c>
      <c r="Q138" s="60"/>
      <c r="R138" s="52"/>
      <c r="S138" s="66"/>
      <c r="T138" s="65"/>
      <c r="U138" s="68"/>
      <c r="V138" s="59"/>
      <c r="W138" s="6">
        <f>'CLIENT ENROLLMENT DISCHARGE '!M138</f>
        <v>0</v>
      </c>
      <c r="X138" s="76"/>
      <c r="Y138" s="180"/>
    </row>
    <row r="139" spans="1:25" ht="50.1" customHeight="1" x14ac:dyDescent="0.25">
      <c r="A139" s="5">
        <f t="shared" si="2"/>
        <v>125</v>
      </c>
      <c r="B139" s="10">
        <f>'CLIENT ENROLLMENT DISCHARGE '!B139</f>
        <v>0</v>
      </c>
      <c r="C139" s="4">
        <f>'CLIENT ENROLLMENT DISCHARGE '!C139</f>
        <v>0</v>
      </c>
      <c r="D139" s="51"/>
      <c r="E139" s="52"/>
      <c r="F139" s="51"/>
      <c r="G139" s="52"/>
      <c r="H139" s="62"/>
      <c r="I139" s="115"/>
      <c r="J139" s="9"/>
      <c r="K139" s="70"/>
      <c r="L139" s="52"/>
      <c r="M139" s="8"/>
      <c r="N139" s="7"/>
      <c r="O139" s="218">
        <f t="shared" si="3"/>
        <v>0</v>
      </c>
      <c r="P139" s="218">
        <f>O139+OCT!P139</f>
        <v>0</v>
      </c>
      <c r="Q139" s="59"/>
      <c r="R139" s="51"/>
      <c r="S139" s="65"/>
      <c r="T139" s="64"/>
      <c r="U139" s="67"/>
      <c r="V139" s="74"/>
      <c r="W139" s="6">
        <f>'CLIENT ENROLLMENT DISCHARGE '!M139</f>
        <v>0</v>
      </c>
      <c r="X139" s="76"/>
      <c r="Y139" s="180"/>
    </row>
    <row r="140" spans="1:25" ht="50.1" customHeight="1" x14ac:dyDescent="0.25">
      <c r="A140" s="5">
        <f t="shared" si="2"/>
        <v>126</v>
      </c>
      <c r="B140" s="10">
        <f>'CLIENT ENROLLMENT DISCHARGE '!B140</f>
        <v>0</v>
      </c>
      <c r="C140" s="4">
        <f>'CLIENT ENROLLMENT DISCHARGE '!C140</f>
        <v>0</v>
      </c>
      <c r="D140" s="52"/>
      <c r="E140" s="53"/>
      <c r="F140" s="52"/>
      <c r="G140" s="53"/>
      <c r="H140" s="63"/>
      <c r="I140" s="116"/>
      <c r="J140" s="3"/>
      <c r="K140" s="71"/>
      <c r="L140" s="53"/>
      <c r="M140" s="2"/>
      <c r="N140" s="1"/>
      <c r="O140" s="218">
        <f t="shared" si="3"/>
        <v>0</v>
      </c>
      <c r="P140" s="218">
        <f>O140+OCT!P140</f>
        <v>0</v>
      </c>
      <c r="Q140" s="60"/>
      <c r="R140" s="52"/>
      <c r="S140" s="66"/>
      <c r="T140" s="65"/>
      <c r="U140" s="68"/>
      <c r="V140" s="75"/>
      <c r="W140" s="6">
        <f>'CLIENT ENROLLMENT DISCHARGE '!M140</f>
        <v>0</v>
      </c>
      <c r="X140" s="76"/>
      <c r="Y140" s="180"/>
    </row>
    <row r="141" spans="1:25" ht="50.1" customHeight="1" x14ac:dyDescent="0.25">
      <c r="A141" s="5">
        <f t="shared" si="2"/>
        <v>127</v>
      </c>
      <c r="B141" s="10">
        <f>'CLIENT ENROLLMENT DISCHARGE '!B141</f>
        <v>0</v>
      </c>
      <c r="C141" s="4">
        <f>'CLIENT ENROLLMENT DISCHARGE '!C141</f>
        <v>0</v>
      </c>
      <c r="D141" s="51"/>
      <c r="E141" s="52"/>
      <c r="F141" s="51"/>
      <c r="G141" s="52"/>
      <c r="H141" s="62"/>
      <c r="I141" s="115"/>
      <c r="J141" s="9"/>
      <c r="K141" s="70"/>
      <c r="L141" s="52"/>
      <c r="M141" s="8"/>
      <c r="N141" s="7"/>
      <c r="O141" s="218">
        <f t="shared" si="3"/>
        <v>0</v>
      </c>
      <c r="P141" s="218">
        <f>O141+OCT!P141</f>
        <v>0</v>
      </c>
      <c r="Q141" s="59"/>
      <c r="R141" s="51"/>
      <c r="S141" s="65"/>
      <c r="T141" s="64"/>
      <c r="U141" s="67"/>
      <c r="V141" s="74"/>
      <c r="W141" s="6">
        <f>'CLIENT ENROLLMENT DISCHARGE '!M141</f>
        <v>0</v>
      </c>
      <c r="X141" s="76"/>
      <c r="Y141" s="180"/>
    </row>
    <row r="142" spans="1:25" ht="50.1" customHeight="1" x14ac:dyDescent="0.25">
      <c r="A142" s="5">
        <f t="shared" si="2"/>
        <v>128</v>
      </c>
      <c r="B142" s="10">
        <f>'CLIENT ENROLLMENT DISCHARGE '!B142</f>
        <v>0</v>
      </c>
      <c r="C142" s="4">
        <f>'CLIENT ENROLLMENT DISCHARGE '!C142</f>
        <v>0</v>
      </c>
      <c r="D142" s="52"/>
      <c r="E142" s="53"/>
      <c r="F142" s="52"/>
      <c r="G142" s="53"/>
      <c r="H142" s="63"/>
      <c r="I142" s="116"/>
      <c r="J142" s="3"/>
      <c r="K142" s="71"/>
      <c r="L142" s="53"/>
      <c r="M142" s="2"/>
      <c r="N142" s="1"/>
      <c r="O142" s="218">
        <f t="shared" si="3"/>
        <v>0</v>
      </c>
      <c r="P142" s="218">
        <f>O142+OCT!P142</f>
        <v>0</v>
      </c>
      <c r="Q142" s="60"/>
      <c r="R142" s="52"/>
      <c r="S142" s="66"/>
      <c r="T142" s="65"/>
      <c r="U142" s="68"/>
      <c r="V142" s="59"/>
      <c r="W142" s="6">
        <f>'CLIENT ENROLLMENT DISCHARGE '!M142</f>
        <v>0</v>
      </c>
      <c r="X142" s="76"/>
      <c r="Y142" s="180"/>
    </row>
    <row r="143" spans="1:25" ht="50.1" customHeight="1" x14ac:dyDescent="0.25">
      <c r="A143" s="5">
        <f t="shared" si="2"/>
        <v>129</v>
      </c>
      <c r="B143" s="10">
        <f>'CLIENT ENROLLMENT DISCHARGE '!B143</f>
        <v>0</v>
      </c>
      <c r="C143" s="4">
        <f>'CLIENT ENROLLMENT DISCHARGE '!C143</f>
        <v>0</v>
      </c>
      <c r="D143" s="51"/>
      <c r="E143" s="52"/>
      <c r="F143" s="51"/>
      <c r="G143" s="52"/>
      <c r="H143" s="62"/>
      <c r="I143" s="115"/>
      <c r="J143" s="9"/>
      <c r="K143" s="70"/>
      <c r="L143" s="52"/>
      <c r="M143" s="8"/>
      <c r="N143" s="7"/>
      <c r="O143" s="218">
        <f t="shared" si="3"/>
        <v>0</v>
      </c>
      <c r="P143" s="218">
        <f>O143+OCT!P143</f>
        <v>0</v>
      </c>
      <c r="Q143" s="59"/>
      <c r="R143" s="51"/>
      <c r="S143" s="65"/>
      <c r="T143" s="64"/>
      <c r="U143" s="67"/>
      <c r="V143" s="74"/>
      <c r="W143" s="6">
        <f>'CLIENT ENROLLMENT DISCHARGE '!M143</f>
        <v>0</v>
      </c>
      <c r="X143" s="76"/>
      <c r="Y143" s="180"/>
    </row>
    <row r="144" spans="1:25" ht="50.1" customHeight="1" x14ac:dyDescent="0.25">
      <c r="A144" s="5">
        <f t="shared" ref="A144:A207" si="4">ROW(A130)</f>
        <v>130</v>
      </c>
      <c r="B144" s="10">
        <f>'CLIENT ENROLLMENT DISCHARGE '!B144</f>
        <v>0</v>
      </c>
      <c r="C144" s="4">
        <f>'CLIENT ENROLLMENT DISCHARGE '!C144</f>
        <v>0</v>
      </c>
      <c r="D144" s="52"/>
      <c r="E144" s="53"/>
      <c r="F144" s="52"/>
      <c r="G144" s="53"/>
      <c r="H144" s="63"/>
      <c r="I144" s="116"/>
      <c r="J144" s="3"/>
      <c r="K144" s="71"/>
      <c r="L144" s="53"/>
      <c r="M144" s="2"/>
      <c r="N144" s="1"/>
      <c r="O144" s="218">
        <f t="shared" ref="O144:O207" si="5">K144*N144</f>
        <v>0</v>
      </c>
      <c r="P144" s="218">
        <f>O144+OCT!P144</f>
        <v>0</v>
      </c>
      <c r="Q144" s="60"/>
      <c r="R144" s="52"/>
      <c r="S144" s="66"/>
      <c r="T144" s="65"/>
      <c r="U144" s="68"/>
      <c r="V144" s="59"/>
      <c r="W144" s="6">
        <f>'CLIENT ENROLLMENT DISCHARGE '!M144</f>
        <v>0</v>
      </c>
      <c r="X144" s="76"/>
      <c r="Y144" s="180"/>
    </row>
    <row r="145" spans="1:25" ht="50.1" customHeight="1" x14ac:dyDescent="0.25">
      <c r="A145" s="5">
        <f t="shared" si="4"/>
        <v>131</v>
      </c>
      <c r="B145" s="10">
        <f>'CLIENT ENROLLMENT DISCHARGE '!B145</f>
        <v>0</v>
      </c>
      <c r="C145" s="4">
        <f>'CLIENT ENROLLMENT DISCHARGE '!C145</f>
        <v>0</v>
      </c>
      <c r="D145" s="51"/>
      <c r="E145" s="52"/>
      <c r="F145" s="51"/>
      <c r="G145" s="52"/>
      <c r="H145" s="62"/>
      <c r="I145" s="115"/>
      <c r="J145" s="9"/>
      <c r="K145" s="70"/>
      <c r="L145" s="52"/>
      <c r="M145" s="8"/>
      <c r="N145" s="7"/>
      <c r="O145" s="218">
        <f t="shared" si="5"/>
        <v>0</v>
      </c>
      <c r="P145" s="218">
        <f>O145+OCT!P145</f>
        <v>0</v>
      </c>
      <c r="Q145" s="59"/>
      <c r="R145" s="51"/>
      <c r="S145" s="65"/>
      <c r="T145" s="64"/>
      <c r="U145" s="67"/>
      <c r="V145" s="74"/>
      <c r="W145" s="6">
        <f>'CLIENT ENROLLMENT DISCHARGE '!M145</f>
        <v>0</v>
      </c>
      <c r="X145" s="76"/>
      <c r="Y145" s="180"/>
    </row>
    <row r="146" spans="1:25" ht="50.1" customHeight="1" x14ac:dyDescent="0.25">
      <c r="A146" s="5">
        <f t="shared" si="4"/>
        <v>132</v>
      </c>
      <c r="B146" s="10">
        <f>'CLIENT ENROLLMENT DISCHARGE '!B146</f>
        <v>0</v>
      </c>
      <c r="C146" s="4">
        <f>'CLIENT ENROLLMENT DISCHARGE '!C146</f>
        <v>0</v>
      </c>
      <c r="D146" s="52"/>
      <c r="E146" s="53"/>
      <c r="F146" s="52"/>
      <c r="G146" s="53"/>
      <c r="H146" s="63"/>
      <c r="I146" s="116"/>
      <c r="J146" s="3"/>
      <c r="K146" s="71"/>
      <c r="L146" s="53"/>
      <c r="M146" s="2"/>
      <c r="N146" s="1"/>
      <c r="O146" s="218">
        <f t="shared" si="5"/>
        <v>0</v>
      </c>
      <c r="P146" s="218">
        <f>O146+OCT!P146</f>
        <v>0</v>
      </c>
      <c r="Q146" s="60"/>
      <c r="R146" s="52"/>
      <c r="S146" s="66"/>
      <c r="T146" s="65"/>
      <c r="U146" s="68"/>
      <c r="V146" s="59"/>
      <c r="W146" s="6">
        <f>'CLIENT ENROLLMENT DISCHARGE '!M146</f>
        <v>0</v>
      </c>
      <c r="X146" s="76"/>
      <c r="Y146" s="180"/>
    </row>
    <row r="147" spans="1:25" ht="50.1" customHeight="1" x14ac:dyDescent="0.25">
      <c r="A147" s="5">
        <f t="shared" si="4"/>
        <v>133</v>
      </c>
      <c r="B147" s="10">
        <f>'CLIENT ENROLLMENT DISCHARGE '!B147</f>
        <v>0</v>
      </c>
      <c r="C147" s="4">
        <f>'CLIENT ENROLLMENT DISCHARGE '!C147</f>
        <v>0</v>
      </c>
      <c r="D147" s="51"/>
      <c r="E147" s="52"/>
      <c r="F147" s="51"/>
      <c r="G147" s="52"/>
      <c r="H147" s="62"/>
      <c r="I147" s="115"/>
      <c r="J147" s="9"/>
      <c r="K147" s="70"/>
      <c r="L147" s="52"/>
      <c r="M147" s="8"/>
      <c r="N147" s="7"/>
      <c r="O147" s="218">
        <f t="shared" si="5"/>
        <v>0</v>
      </c>
      <c r="P147" s="218">
        <f>O147+OCT!P147</f>
        <v>0</v>
      </c>
      <c r="Q147" s="59"/>
      <c r="R147" s="51"/>
      <c r="S147" s="65"/>
      <c r="T147" s="64"/>
      <c r="U147" s="67"/>
      <c r="V147" s="74"/>
      <c r="W147" s="6">
        <f>'CLIENT ENROLLMENT DISCHARGE '!M147</f>
        <v>0</v>
      </c>
      <c r="X147" s="76"/>
      <c r="Y147" s="180"/>
    </row>
    <row r="148" spans="1:25" ht="50.1" customHeight="1" x14ac:dyDescent="0.25">
      <c r="A148" s="5">
        <f t="shared" si="4"/>
        <v>134</v>
      </c>
      <c r="B148" s="10">
        <f>'CLIENT ENROLLMENT DISCHARGE '!B148</f>
        <v>0</v>
      </c>
      <c r="C148" s="4">
        <f>'CLIENT ENROLLMENT DISCHARGE '!C148</f>
        <v>0</v>
      </c>
      <c r="D148" s="52"/>
      <c r="E148" s="53"/>
      <c r="F148" s="52"/>
      <c r="G148" s="53"/>
      <c r="H148" s="63"/>
      <c r="I148" s="116"/>
      <c r="J148" s="3"/>
      <c r="K148" s="71"/>
      <c r="L148" s="53"/>
      <c r="M148" s="2"/>
      <c r="N148" s="1"/>
      <c r="O148" s="218">
        <f t="shared" si="5"/>
        <v>0</v>
      </c>
      <c r="P148" s="218">
        <f>O148+OCT!P148</f>
        <v>0</v>
      </c>
      <c r="Q148" s="60"/>
      <c r="R148" s="52"/>
      <c r="S148" s="66"/>
      <c r="T148" s="65"/>
      <c r="U148" s="68"/>
      <c r="V148" s="59"/>
      <c r="W148" s="6">
        <f>'CLIENT ENROLLMENT DISCHARGE '!M148</f>
        <v>0</v>
      </c>
      <c r="X148" s="76"/>
      <c r="Y148" s="180"/>
    </row>
    <row r="149" spans="1:25" ht="50.1" customHeight="1" x14ac:dyDescent="0.25">
      <c r="A149" s="5">
        <f t="shared" si="4"/>
        <v>135</v>
      </c>
      <c r="B149" s="10">
        <f>'CLIENT ENROLLMENT DISCHARGE '!B149</f>
        <v>0</v>
      </c>
      <c r="C149" s="4">
        <f>'CLIENT ENROLLMENT DISCHARGE '!C149</f>
        <v>0</v>
      </c>
      <c r="D149" s="51"/>
      <c r="E149" s="52"/>
      <c r="F149" s="51"/>
      <c r="G149" s="52"/>
      <c r="H149" s="62"/>
      <c r="I149" s="115"/>
      <c r="J149" s="9"/>
      <c r="K149" s="70"/>
      <c r="L149" s="52"/>
      <c r="M149" s="8"/>
      <c r="N149" s="7"/>
      <c r="O149" s="218">
        <f t="shared" si="5"/>
        <v>0</v>
      </c>
      <c r="P149" s="218">
        <f>O149+OCT!P149</f>
        <v>0</v>
      </c>
      <c r="Q149" s="59"/>
      <c r="R149" s="51"/>
      <c r="S149" s="65"/>
      <c r="T149" s="64"/>
      <c r="U149" s="67"/>
      <c r="V149" s="74"/>
      <c r="W149" s="6">
        <f>'CLIENT ENROLLMENT DISCHARGE '!M149</f>
        <v>0</v>
      </c>
      <c r="X149" s="76"/>
      <c r="Y149" s="180"/>
    </row>
    <row r="150" spans="1:25" ht="50.1" customHeight="1" x14ac:dyDescent="0.25">
      <c r="A150" s="5">
        <f t="shared" si="4"/>
        <v>136</v>
      </c>
      <c r="B150" s="10">
        <f>'CLIENT ENROLLMENT DISCHARGE '!B150</f>
        <v>0</v>
      </c>
      <c r="C150" s="4">
        <f>'CLIENT ENROLLMENT DISCHARGE '!C150</f>
        <v>0</v>
      </c>
      <c r="D150" s="52"/>
      <c r="E150" s="53"/>
      <c r="F150" s="52"/>
      <c r="G150" s="53"/>
      <c r="H150" s="63"/>
      <c r="I150" s="116"/>
      <c r="J150" s="3"/>
      <c r="K150" s="71"/>
      <c r="L150" s="53"/>
      <c r="M150" s="2"/>
      <c r="N150" s="1"/>
      <c r="O150" s="218">
        <f t="shared" si="5"/>
        <v>0</v>
      </c>
      <c r="P150" s="218">
        <f>O150+OCT!P150</f>
        <v>0</v>
      </c>
      <c r="Q150" s="60"/>
      <c r="R150" s="52"/>
      <c r="S150" s="66"/>
      <c r="T150" s="65"/>
      <c r="U150" s="68"/>
      <c r="V150" s="75"/>
      <c r="W150" s="6">
        <f>'CLIENT ENROLLMENT DISCHARGE '!M150</f>
        <v>0</v>
      </c>
      <c r="X150" s="76"/>
      <c r="Y150" s="180"/>
    </row>
    <row r="151" spans="1:25" ht="50.1" customHeight="1" x14ac:dyDescent="0.25">
      <c r="A151" s="5">
        <f t="shared" si="4"/>
        <v>137</v>
      </c>
      <c r="B151" s="10">
        <f>'CLIENT ENROLLMENT DISCHARGE '!B151</f>
        <v>0</v>
      </c>
      <c r="C151" s="4">
        <f>'CLIENT ENROLLMENT DISCHARGE '!C151</f>
        <v>0</v>
      </c>
      <c r="D151" s="51"/>
      <c r="E151" s="52"/>
      <c r="F151" s="51"/>
      <c r="G151" s="52"/>
      <c r="H151" s="62"/>
      <c r="I151" s="115"/>
      <c r="J151" s="9"/>
      <c r="K151" s="70"/>
      <c r="L151" s="52"/>
      <c r="M151" s="8"/>
      <c r="N151" s="7"/>
      <c r="O151" s="218">
        <f t="shared" si="5"/>
        <v>0</v>
      </c>
      <c r="P151" s="218">
        <f>O151+OCT!P151</f>
        <v>0</v>
      </c>
      <c r="Q151" s="59"/>
      <c r="R151" s="51"/>
      <c r="S151" s="65"/>
      <c r="T151" s="64"/>
      <c r="U151" s="67"/>
      <c r="V151" s="74"/>
      <c r="W151" s="6">
        <f>'CLIENT ENROLLMENT DISCHARGE '!M151</f>
        <v>0</v>
      </c>
      <c r="X151" s="76"/>
      <c r="Y151" s="180"/>
    </row>
    <row r="152" spans="1:25" ht="50.1" customHeight="1" x14ac:dyDescent="0.25">
      <c r="A152" s="5">
        <f t="shared" si="4"/>
        <v>138</v>
      </c>
      <c r="B152" s="10">
        <f>'CLIENT ENROLLMENT DISCHARGE '!B152</f>
        <v>0</v>
      </c>
      <c r="C152" s="4">
        <f>'CLIENT ENROLLMENT DISCHARGE '!C152</f>
        <v>0</v>
      </c>
      <c r="D152" s="52"/>
      <c r="E152" s="53"/>
      <c r="F152" s="52"/>
      <c r="G152" s="53"/>
      <c r="H152" s="63"/>
      <c r="I152" s="116"/>
      <c r="J152" s="3"/>
      <c r="K152" s="71"/>
      <c r="L152" s="53"/>
      <c r="M152" s="2"/>
      <c r="N152" s="1"/>
      <c r="O152" s="218">
        <f t="shared" si="5"/>
        <v>0</v>
      </c>
      <c r="P152" s="218">
        <f>O152+OCT!P152</f>
        <v>0</v>
      </c>
      <c r="Q152" s="60"/>
      <c r="R152" s="52"/>
      <c r="S152" s="66"/>
      <c r="T152" s="65"/>
      <c r="U152" s="68"/>
      <c r="V152" s="59"/>
      <c r="W152" s="6">
        <f>'CLIENT ENROLLMENT DISCHARGE '!M152</f>
        <v>0</v>
      </c>
      <c r="X152" s="76"/>
      <c r="Y152" s="180"/>
    </row>
    <row r="153" spans="1:25" ht="50.1" customHeight="1" x14ac:dyDescent="0.25">
      <c r="A153" s="5">
        <f t="shared" si="4"/>
        <v>139</v>
      </c>
      <c r="B153" s="10">
        <f>'CLIENT ENROLLMENT DISCHARGE '!B153</f>
        <v>0</v>
      </c>
      <c r="C153" s="4">
        <f>'CLIENT ENROLLMENT DISCHARGE '!C153</f>
        <v>0</v>
      </c>
      <c r="D153" s="51"/>
      <c r="E153" s="52"/>
      <c r="F153" s="51"/>
      <c r="G153" s="52"/>
      <c r="H153" s="62"/>
      <c r="I153" s="115"/>
      <c r="J153" s="9"/>
      <c r="K153" s="70"/>
      <c r="L153" s="52"/>
      <c r="M153" s="8"/>
      <c r="N153" s="7"/>
      <c r="O153" s="218">
        <f t="shared" si="5"/>
        <v>0</v>
      </c>
      <c r="P153" s="218">
        <f>O153+OCT!P153</f>
        <v>0</v>
      </c>
      <c r="Q153" s="59"/>
      <c r="R153" s="51"/>
      <c r="S153" s="65"/>
      <c r="T153" s="64"/>
      <c r="U153" s="67"/>
      <c r="V153" s="74"/>
      <c r="W153" s="6">
        <f>'CLIENT ENROLLMENT DISCHARGE '!M153</f>
        <v>0</v>
      </c>
      <c r="X153" s="76"/>
      <c r="Y153" s="180"/>
    </row>
    <row r="154" spans="1:25" ht="50.1" customHeight="1" x14ac:dyDescent="0.25">
      <c r="A154" s="5">
        <f t="shared" si="4"/>
        <v>140</v>
      </c>
      <c r="B154" s="10">
        <f>'CLIENT ENROLLMENT DISCHARGE '!B154</f>
        <v>0</v>
      </c>
      <c r="C154" s="4">
        <f>'CLIENT ENROLLMENT DISCHARGE '!C154</f>
        <v>0</v>
      </c>
      <c r="D154" s="52"/>
      <c r="E154" s="53"/>
      <c r="F154" s="52"/>
      <c r="G154" s="53"/>
      <c r="H154" s="63"/>
      <c r="I154" s="116"/>
      <c r="J154" s="3"/>
      <c r="K154" s="71"/>
      <c r="L154" s="53"/>
      <c r="M154" s="2"/>
      <c r="N154" s="1"/>
      <c r="O154" s="218">
        <f t="shared" si="5"/>
        <v>0</v>
      </c>
      <c r="P154" s="218">
        <f>O154+OCT!P154</f>
        <v>0</v>
      </c>
      <c r="Q154" s="60"/>
      <c r="R154" s="52"/>
      <c r="S154" s="66"/>
      <c r="T154" s="65"/>
      <c r="U154" s="68"/>
      <c r="V154" s="59"/>
      <c r="W154" s="6">
        <f>'CLIENT ENROLLMENT DISCHARGE '!M154</f>
        <v>0</v>
      </c>
      <c r="X154" s="76"/>
      <c r="Y154" s="180"/>
    </row>
    <row r="155" spans="1:25" ht="50.1" customHeight="1" x14ac:dyDescent="0.25">
      <c r="A155" s="5">
        <f t="shared" si="4"/>
        <v>141</v>
      </c>
      <c r="B155" s="10">
        <f>'CLIENT ENROLLMENT DISCHARGE '!B155</f>
        <v>0</v>
      </c>
      <c r="C155" s="4">
        <f>'CLIENT ENROLLMENT DISCHARGE '!C155</f>
        <v>0</v>
      </c>
      <c r="D155" s="51"/>
      <c r="E155" s="52"/>
      <c r="F155" s="51"/>
      <c r="G155" s="52"/>
      <c r="H155" s="62"/>
      <c r="I155" s="115"/>
      <c r="J155" s="9"/>
      <c r="K155" s="70"/>
      <c r="L155" s="52"/>
      <c r="M155" s="8"/>
      <c r="N155" s="7"/>
      <c r="O155" s="218">
        <f t="shared" si="5"/>
        <v>0</v>
      </c>
      <c r="P155" s="218">
        <f>O155+OCT!P155</f>
        <v>0</v>
      </c>
      <c r="Q155" s="59"/>
      <c r="R155" s="51"/>
      <c r="S155" s="65"/>
      <c r="T155" s="64"/>
      <c r="U155" s="67"/>
      <c r="V155" s="74"/>
      <c r="W155" s="6">
        <f>'CLIENT ENROLLMENT DISCHARGE '!M155</f>
        <v>0</v>
      </c>
      <c r="X155" s="76"/>
      <c r="Y155" s="180"/>
    </row>
    <row r="156" spans="1:25" ht="50.1" customHeight="1" x14ac:dyDescent="0.25">
      <c r="A156" s="5">
        <f t="shared" si="4"/>
        <v>142</v>
      </c>
      <c r="B156" s="10">
        <f>'CLIENT ENROLLMENT DISCHARGE '!B156</f>
        <v>0</v>
      </c>
      <c r="C156" s="4">
        <f>'CLIENT ENROLLMENT DISCHARGE '!C156</f>
        <v>0</v>
      </c>
      <c r="D156" s="52"/>
      <c r="E156" s="53"/>
      <c r="F156" s="52"/>
      <c r="G156" s="53"/>
      <c r="H156" s="63"/>
      <c r="I156" s="116"/>
      <c r="J156" s="3"/>
      <c r="K156" s="71"/>
      <c r="L156" s="53"/>
      <c r="M156" s="2"/>
      <c r="N156" s="1"/>
      <c r="O156" s="218">
        <f t="shared" si="5"/>
        <v>0</v>
      </c>
      <c r="P156" s="218">
        <f>O156+OCT!P156</f>
        <v>0</v>
      </c>
      <c r="Q156" s="60"/>
      <c r="R156" s="52"/>
      <c r="S156" s="66"/>
      <c r="T156" s="65"/>
      <c r="U156" s="68"/>
      <c r="V156" s="59"/>
      <c r="W156" s="6">
        <f>'CLIENT ENROLLMENT DISCHARGE '!M156</f>
        <v>0</v>
      </c>
      <c r="X156" s="76"/>
      <c r="Y156" s="180"/>
    </row>
    <row r="157" spans="1:25" ht="50.1" customHeight="1" x14ac:dyDescent="0.25">
      <c r="A157" s="5">
        <f t="shared" si="4"/>
        <v>143</v>
      </c>
      <c r="B157" s="10">
        <f>'CLIENT ENROLLMENT DISCHARGE '!B157</f>
        <v>0</v>
      </c>
      <c r="C157" s="4">
        <f>'CLIENT ENROLLMENT DISCHARGE '!C157</f>
        <v>0</v>
      </c>
      <c r="D157" s="51"/>
      <c r="E157" s="52"/>
      <c r="F157" s="51"/>
      <c r="G157" s="52"/>
      <c r="H157" s="62"/>
      <c r="I157" s="115"/>
      <c r="J157" s="9"/>
      <c r="K157" s="70"/>
      <c r="L157" s="52"/>
      <c r="M157" s="8"/>
      <c r="N157" s="7"/>
      <c r="O157" s="218">
        <f t="shared" si="5"/>
        <v>0</v>
      </c>
      <c r="P157" s="218">
        <f>O157+OCT!P157</f>
        <v>0</v>
      </c>
      <c r="Q157" s="59"/>
      <c r="R157" s="51"/>
      <c r="S157" s="65"/>
      <c r="T157" s="64"/>
      <c r="U157" s="67"/>
      <c r="V157" s="74"/>
      <c r="W157" s="6">
        <f>'CLIENT ENROLLMENT DISCHARGE '!M157</f>
        <v>0</v>
      </c>
      <c r="X157" s="76"/>
      <c r="Y157" s="180"/>
    </row>
    <row r="158" spans="1:25" ht="50.1" customHeight="1" x14ac:dyDescent="0.25">
      <c r="A158" s="5">
        <f t="shared" si="4"/>
        <v>144</v>
      </c>
      <c r="B158" s="10">
        <f>'CLIENT ENROLLMENT DISCHARGE '!B158</f>
        <v>0</v>
      </c>
      <c r="C158" s="4">
        <f>'CLIENT ENROLLMENT DISCHARGE '!C158</f>
        <v>0</v>
      </c>
      <c r="D158" s="52"/>
      <c r="E158" s="53"/>
      <c r="F158" s="52"/>
      <c r="G158" s="53"/>
      <c r="H158" s="63"/>
      <c r="I158" s="116"/>
      <c r="J158" s="3"/>
      <c r="K158" s="71"/>
      <c r="L158" s="53"/>
      <c r="M158" s="2"/>
      <c r="N158" s="1"/>
      <c r="O158" s="218">
        <f t="shared" si="5"/>
        <v>0</v>
      </c>
      <c r="P158" s="218">
        <f>O158+OCT!P158</f>
        <v>0</v>
      </c>
      <c r="Q158" s="60"/>
      <c r="R158" s="52"/>
      <c r="S158" s="66"/>
      <c r="T158" s="65"/>
      <c r="U158" s="68"/>
      <c r="V158" s="59"/>
      <c r="W158" s="6">
        <f>'CLIENT ENROLLMENT DISCHARGE '!M158</f>
        <v>0</v>
      </c>
      <c r="X158" s="76"/>
      <c r="Y158" s="180"/>
    </row>
    <row r="159" spans="1:25" ht="50.1" customHeight="1" x14ac:dyDescent="0.25">
      <c r="A159" s="5">
        <f t="shared" si="4"/>
        <v>145</v>
      </c>
      <c r="B159" s="10">
        <f>'CLIENT ENROLLMENT DISCHARGE '!B159</f>
        <v>0</v>
      </c>
      <c r="C159" s="4">
        <f>'CLIENT ENROLLMENT DISCHARGE '!C159</f>
        <v>0</v>
      </c>
      <c r="D159" s="51"/>
      <c r="E159" s="52"/>
      <c r="F159" s="51"/>
      <c r="G159" s="52"/>
      <c r="H159" s="62"/>
      <c r="I159" s="115"/>
      <c r="J159" s="9"/>
      <c r="K159" s="70"/>
      <c r="L159" s="52"/>
      <c r="M159" s="8"/>
      <c r="N159" s="7"/>
      <c r="O159" s="218">
        <f t="shared" si="5"/>
        <v>0</v>
      </c>
      <c r="P159" s="218">
        <f>O159+OCT!P159</f>
        <v>0</v>
      </c>
      <c r="Q159" s="59"/>
      <c r="R159" s="51"/>
      <c r="S159" s="65"/>
      <c r="T159" s="64"/>
      <c r="U159" s="67"/>
      <c r="V159" s="74"/>
      <c r="W159" s="6">
        <f>'CLIENT ENROLLMENT DISCHARGE '!M159</f>
        <v>0</v>
      </c>
      <c r="X159" s="76"/>
      <c r="Y159" s="180"/>
    </row>
    <row r="160" spans="1:25" ht="50.1" customHeight="1" x14ac:dyDescent="0.25">
      <c r="A160" s="5">
        <f t="shared" si="4"/>
        <v>146</v>
      </c>
      <c r="B160" s="10">
        <f>'CLIENT ENROLLMENT DISCHARGE '!B160</f>
        <v>0</v>
      </c>
      <c r="C160" s="4">
        <f>'CLIENT ENROLLMENT DISCHARGE '!C160</f>
        <v>0</v>
      </c>
      <c r="D160" s="52"/>
      <c r="E160" s="53"/>
      <c r="F160" s="52"/>
      <c r="G160" s="53"/>
      <c r="H160" s="63"/>
      <c r="I160" s="116"/>
      <c r="J160" s="3"/>
      <c r="K160" s="71"/>
      <c r="L160" s="53"/>
      <c r="M160" s="2"/>
      <c r="N160" s="1"/>
      <c r="O160" s="218">
        <f t="shared" si="5"/>
        <v>0</v>
      </c>
      <c r="P160" s="218">
        <f>O160+OCT!P160</f>
        <v>0</v>
      </c>
      <c r="Q160" s="60"/>
      <c r="R160" s="52"/>
      <c r="S160" s="66"/>
      <c r="T160" s="65"/>
      <c r="U160" s="68"/>
      <c r="V160" s="75"/>
      <c r="W160" s="6">
        <f>'CLIENT ENROLLMENT DISCHARGE '!M160</f>
        <v>0</v>
      </c>
      <c r="X160" s="76"/>
      <c r="Y160" s="180"/>
    </row>
    <row r="161" spans="1:25" ht="50.1" customHeight="1" x14ac:dyDescent="0.25">
      <c r="A161" s="5">
        <f t="shared" si="4"/>
        <v>147</v>
      </c>
      <c r="B161" s="10">
        <f>'CLIENT ENROLLMENT DISCHARGE '!B161</f>
        <v>0</v>
      </c>
      <c r="C161" s="4">
        <f>'CLIENT ENROLLMENT DISCHARGE '!C161</f>
        <v>0</v>
      </c>
      <c r="D161" s="51"/>
      <c r="E161" s="52"/>
      <c r="F161" s="51"/>
      <c r="G161" s="52"/>
      <c r="H161" s="62"/>
      <c r="I161" s="115"/>
      <c r="J161" s="9"/>
      <c r="K161" s="70"/>
      <c r="L161" s="52"/>
      <c r="M161" s="8"/>
      <c r="N161" s="7"/>
      <c r="O161" s="218">
        <f t="shared" si="5"/>
        <v>0</v>
      </c>
      <c r="P161" s="218">
        <f>O161+OCT!P161</f>
        <v>0</v>
      </c>
      <c r="Q161" s="59"/>
      <c r="R161" s="51"/>
      <c r="S161" s="65"/>
      <c r="T161" s="64"/>
      <c r="U161" s="67"/>
      <c r="V161" s="74"/>
      <c r="W161" s="6">
        <f>'CLIENT ENROLLMENT DISCHARGE '!M161</f>
        <v>0</v>
      </c>
      <c r="X161" s="76"/>
      <c r="Y161" s="180"/>
    </row>
    <row r="162" spans="1:25" ht="50.1" customHeight="1" x14ac:dyDescent="0.25">
      <c r="A162" s="5">
        <f t="shared" si="4"/>
        <v>148</v>
      </c>
      <c r="B162" s="10">
        <f>'CLIENT ENROLLMENT DISCHARGE '!B162</f>
        <v>0</v>
      </c>
      <c r="C162" s="4">
        <f>'CLIENT ENROLLMENT DISCHARGE '!C162</f>
        <v>0</v>
      </c>
      <c r="D162" s="52"/>
      <c r="E162" s="53"/>
      <c r="F162" s="52"/>
      <c r="G162" s="53"/>
      <c r="H162" s="63"/>
      <c r="I162" s="116"/>
      <c r="J162" s="3"/>
      <c r="K162" s="71"/>
      <c r="L162" s="53"/>
      <c r="M162" s="2"/>
      <c r="N162" s="1"/>
      <c r="O162" s="218">
        <f t="shared" si="5"/>
        <v>0</v>
      </c>
      <c r="P162" s="218">
        <f>O162+OCT!P162</f>
        <v>0</v>
      </c>
      <c r="Q162" s="60"/>
      <c r="R162" s="52"/>
      <c r="S162" s="66"/>
      <c r="T162" s="65"/>
      <c r="U162" s="68"/>
      <c r="V162" s="59"/>
      <c r="W162" s="6">
        <f>'CLIENT ENROLLMENT DISCHARGE '!M162</f>
        <v>0</v>
      </c>
      <c r="X162" s="76"/>
      <c r="Y162" s="180"/>
    </row>
    <row r="163" spans="1:25" ht="50.1" customHeight="1" x14ac:dyDescent="0.25">
      <c r="A163" s="5">
        <f t="shared" si="4"/>
        <v>149</v>
      </c>
      <c r="B163" s="10">
        <f>'CLIENT ENROLLMENT DISCHARGE '!B163</f>
        <v>0</v>
      </c>
      <c r="C163" s="4">
        <f>'CLIENT ENROLLMENT DISCHARGE '!C163</f>
        <v>0</v>
      </c>
      <c r="D163" s="51"/>
      <c r="E163" s="52"/>
      <c r="F163" s="51"/>
      <c r="G163" s="52"/>
      <c r="H163" s="62"/>
      <c r="I163" s="115"/>
      <c r="J163" s="9"/>
      <c r="K163" s="70"/>
      <c r="L163" s="52"/>
      <c r="M163" s="8"/>
      <c r="N163" s="7"/>
      <c r="O163" s="218">
        <f t="shared" si="5"/>
        <v>0</v>
      </c>
      <c r="P163" s="218">
        <f>O163+OCT!P163</f>
        <v>0</v>
      </c>
      <c r="Q163" s="59"/>
      <c r="R163" s="51"/>
      <c r="S163" s="65"/>
      <c r="T163" s="64"/>
      <c r="U163" s="67"/>
      <c r="V163" s="74"/>
      <c r="W163" s="6">
        <f>'CLIENT ENROLLMENT DISCHARGE '!M163</f>
        <v>0</v>
      </c>
      <c r="X163" s="76"/>
      <c r="Y163" s="180"/>
    </row>
    <row r="164" spans="1:25" ht="50.1" customHeight="1" x14ac:dyDescent="0.25">
      <c r="A164" s="5">
        <f t="shared" si="4"/>
        <v>150</v>
      </c>
      <c r="B164" s="10">
        <f>'CLIENT ENROLLMENT DISCHARGE '!B164</f>
        <v>0</v>
      </c>
      <c r="C164" s="4">
        <f>'CLIENT ENROLLMENT DISCHARGE '!C164</f>
        <v>0</v>
      </c>
      <c r="D164" s="52"/>
      <c r="E164" s="53"/>
      <c r="F164" s="52"/>
      <c r="G164" s="53"/>
      <c r="H164" s="63"/>
      <c r="I164" s="116"/>
      <c r="J164" s="3"/>
      <c r="K164" s="71"/>
      <c r="L164" s="53"/>
      <c r="M164" s="2"/>
      <c r="N164" s="1"/>
      <c r="O164" s="218">
        <f t="shared" si="5"/>
        <v>0</v>
      </c>
      <c r="P164" s="218">
        <f>O164+OCT!P164</f>
        <v>0</v>
      </c>
      <c r="Q164" s="60"/>
      <c r="R164" s="52"/>
      <c r="S164" s="66"/>
      <c r="T164" s="65"/>
      <c r="U164" s="68"/>
      <c r="V164" s="59"/>
      <c r="W164" s="6">
        <f>'CLIENT ENROLLMENT DISCHARGE '!M164</f>
        <v>0</v>
      </c>
      <c r="X164" s="76"/>
      <c r="Y164" s="180"/>
    </row>
    <row r="165" spans="1:25" ht="50.1" customHeight="1" x14ac:dyDescent="0.25">
      <c r="A165" s="5">
        <f t="shared" si="4"/>
        <v>151</v>
      </c>
      <c r="B165" s="10">
        <f>'CLIENT ENROLLMENT DISCHARGE '!B165</f>
        <v>0</v>
      </c>
      <c r="C165" s="4">
        <f>'CLIENT ENROLLMENT DISCHARGE '!C165</f>
        <v>0</v>
      </c>
      <c r="D165" s="51"/>
      <c r="E165" s="52"/>
      <c r="F165" s="51"/>
      <c r="G165" s="52"/>
      <c r="H165" s="62"/>
      <c r="I165" s="115"/>
      <c r="J165" s="9"/>
      <c r="K165" s="70"/>
      <c r="L165" s="52"/>
      <c r="M165" s="8"/>
      <c r="N165" s="7"/>
      <c r="O165" s="218">
        <f t="shared" si="5"/>
        <v>0</v>
      </c>
      <c r="P165" s="218">
        <f>O165+OCT!P165</f>
        <v>0</v>
      </c>
      <c r="Q165" s="59"/>
      <c r="R165" s="51"/>
      <c r="S165" s="65"/>
      <c r="T165" s="64"/>
      <c r="U165" s="67"/>
      <c r="V165" s="74"/>
      <c r="W165" s="6">
        <f>'CLIENT ENROLLMENT DISCHARGE '!M165</f>
        <v>0</v>
      </c>
      <c r="X165" s="76"/>
      <c r="Y165" s="180"/>
    </row>
    <row r="166" spans="1:25" ht="50.1" customHeight="1" x14ac:dyDescent="0.25">
      <c r="A166" s="5">
        <f t="shared" si="4"/>
        <v>152</v>
      </c>
      <c r="B166" s="10">
        <f>'CLIENT ENROLLMENT DISCHARGE '!B166</f>
        <v>0</v>
      </c>
      <c r="C166" s="4">
        <f>'CLIENT ENROLLMENT DISCHARGE '!C166</f>
        <v>0</v>
      </c>
      <c r="D166" s="52"/>
      <c r="E166" s="53"/>
      <c r="F166" s="52"/>
      <c r="G166" s="53"/>
      <c r="H166" s="63"/>
      <c r="I166" s="116"/>
      <c r="J166" s="3"/>
      <c r="K166" s="71"/>
      <c r="L166" s="53"/>
      <c r="M166" s="2"/>
      <c r="N166" s="1"/>
      <c r="O166" s="218">
        <f t="shared" si="5"/>
        <v>0</v>
      </c>
      <c r="P166" s="218">
        <f>O166+OCT!P166</f>
        <v>0</v>
      </c>
      <c r="Q166" s="60"/>
      <c r="R166" s="52"/>
      <c r="S166" s="66"/>
      <c r="T166" s="65"/>
      <c r="U166" s="68"/>
      <c r="V166" s="59"/>
      <c r="W166" s="6">
        <f>'CLIENT ENROLLMENT DISCHARGE '!M166</f>
        <v>0</v>
      </c>
      <c r="X166" s="76"/>
      <c r="Y166" s="180"/>
    </row>
    <row r="167" spans="1:25" ht="50.1" customHeight="1" x14ac:dyDescent="0.25">
      <c r="A167" s="5">
        <f t="shared" si="4"/>
        <v>153</v>
      </c>
      <c r="B167" s="10">
        <f>'CLIENT ENROLLMENT DISCHARGE '!B167</f>
        <v>0</v>
      </c>
      <c r="C167" s="4">
        <f>'CLIENT ENROLLMENT DISCHARGE '!C167</f>
        <v>0</v>
      </c>
      <c r="D167" s="51"/>
      <c r="E167" s="52"/>
      <c r="F167" s="51"/>
      <c r="G167" s="52"/>
      <c r="H167" s="62"/>
      <c r="I167" s="115"/>
      <c r="J167" s="9"/>
      <c r="K167" s="70"/>
      <c r="L167" s="52"/>
      <c r="M167" s="8"/>
      <c r="N167" s="7"/>
      <c r="O167" s="218">
        <f t="shared" si="5"/>
        <v>0</v>
      </c>
      <c r="P167" s="218">
        <f>O167+OCT!P167</f>
        <v>0</v>
      </c>
      <c r="Q167" s="59"/>
      <c r="R167" s="51"/>
      <c r="S167" s="65"/>
      <c r="T167" s="64"/>
      <c r="U167" s="67"/>
      <c r="V167" s="74"/>
      <c r="W167" s="6">
        <f>'CLIENT ENROLLMENT DISCHARGE '!M167</f>
        <v>0</v>
      </c>
      <c r="X167" s="76"/>
      <c r="Y167" s="180"/>
    </row>
    <row r="168" spans="1:25" ht="50.1" customHeight="1" x14ac:dyDescent="0.25">
      <c r="A168" s="5">
        <f t="shared" si="4"/>
        <v>154</v>
      </c>
      <c r="B168" s="10">
        <f>'CLIENT ENROLLMENT DISCHARGE '!B168</f>
        <v>0</v>
      </c>
      <c r="C168" s="4">
        <f>'CLIENT ENROLLMENT DISCHARGE '!C168</f>
        <v>0</v>
      </c>
      <c r="D168" s="52"/>
      <c r="E168" s="53"/>
      <c r="F168" s="52"/>
      <c r="G168" s="53"/>
      <c r="H168" s="63"/>
      <c r="I168" s="116"/>
      <c r="J168" s="3"/>
      <c r="K168" s="71"/>
      <c r="L168" s="53"/>
      <c r="M168" s="2"/>
      <c r="N168" s="1"/>
      <c r="O168" s="218">
        <f t="shared" si="5"/>
        <v>0</v>
      </c>
      <c r="P168" s="218">
        <f>O168+OCT!P168</f>
        <v>0</v>
      </c>
      <c r="Q168" s="60"/>
      <c r="R168" s="52"/>
      <c r="S168" s="66"/>
      <c r="T168" s="65"/>
      <c r="U168" s="68"/>
      <c r="V168" s="59"/>
      <c r="W168" s="6">
        <f>'CLIENT ENROLLMENT DISCHARGE '!M168</f>
        <v>0</v>
      </c>
      <c r="X168" s="76"/>
      <c r="Y168" s="180"/>
    </row>
    <row r="169" spans="1:25" ht="50.1" customHeight="1" x14ac:dyDescent="0.25">
      <c r="A169" s="5">
        <f t="shared" si="4"/>
        <v>155</v>
      </c>
      <c r="B169" s="10">
        <f>'CLIENT ENROLLMENT DISCHARGE '!B169</f>
        <v>0</v>
      </c>
      <c r="C169" s="4">
        <f>'CLIENT ENROLLMENT DISCHARGE '!C169</f>
        <v>0</v>
      </c>
      <c r="D169" s="51"/>
      <c r="E169" s="52"/>
      <c r="F169" s="51"/>
      <c r="G169" s="52"/>
      <c r="H169" s="62"/>
      <c r="I169" s="115"/>
      <c r="J169" s="9"/>
      <c r="K169" s="70"/>
      <c r="L169" s="52"/>
      <c r="M169" s="8"/>
      <c r="N169" s="7"/>
      <c r="O169" s="218">
        <f t="shared" si="5"/>
        <v>0</v>
      </c>
      <c r="P169" s="218">
        <f>O169+OCT!P169</f>
        <v>0</v>
      </c>
      <c r="Q169" s="59"/>
      <c r="R169" s="51"/>
      <c r="S169" s="65"/>
      <c r="T169" s="64"/>
      <c r="U169" s="67"/>
      <c r="V169" s="74"/>
      <c r="W169" s="6">
        <f>'CLIENT ENROLLMENT DISCHARGE '!M169</f>
        <v>0</v>
      </c>
      <c r="X169" s="76"/>
      <c r="Y169" s="180"/>
    </row>
    <row r="170" spans="1:25" ht="50.1" customHeight="1" x14ac:dyDescent="0.25">
      <c r="A170" s="5">
        <f t="shared" si="4"/>
        <v>156</v>
      </c>
      <c r="B170" s="10">
        <f>'CLIENT ENROLLMENT DISCHARGE '!B170</f>
        <v>0</v>
      </c>
      <c r="C170" s="4">
        <f>'CLIENT ENROLLMENT DISCHARGE '!C170</f>
        <v>0</v>
      </c>
      <c r="D170" s="52"/>
      <c r="E170" s="53"/>
      <c r="F170" s="52"/>
      <c r="G170" s="53"/>
      <c r="H170" s="63"/>
      <c r="I170" s="116"/>
      <c r="J170" s="3"/>
      <c r="K170" s="71"/>
      <c r="L170" s="53"/>
      <c r="M170" s="2"/>
      <c r="N170" s="1"/>
      <c r="O170" s="218">
        <f t="shared" si="5"/>
        <v>0</v>
      </c>
      <c r="P170" s="218">
        <f>O170+OCT!P170</f>
        <v>0</v>
      </c>
      <c r="Q170" s="60"/>
      <c r="R170" s="52"/>
      <c r="S170" s="66"/>
      <c r="T170" s="65"/>
      <c r="U170" s="68"/>
      <c r="V170" s="75"/>
      <c r="W170" s="6">
        <f>'CLIENT ENROLLMENT DISCHARGE '!M170</f>
        <v>0</v>
      </c>
      <c r="X170" s="76"/>
      <c r="Y170" s="180"/>
    </row>
    <row r="171" spans="1:25" ht="50.1" customHeight="1" x14ac:dyDescent="0.25">
      <c r="A171" s="5">
        <f t="shared" si="4"/>
        <v>157</v>
      </c>
      <c r="B171" s="10">
        <f>'CLIENT ENROLLMENT DISCHARGE '!B171</f>
        <v>0</v>
      </c>
      <c r="C171" s="4">
        <f>'CLIENT ENROLLMENT DISCHARGE '!C171</f>
        <v>0</v>
      </c>
      <c r="D171" s="51"/>
      <c r="E171" s="52"/>
      <c r="F171" s="51"/>
      <c r="G171" s="52"/>
      <c r="H171" s="62"/>
      <c r="I171" s="115"/>
      <c r="J171" s="9"/>
      <c r="K171" s="70"/>
      <c r="L171" s="52"/>
      <c r="M171" s="8"/>
      <c r="N171" s="7"/>
      <c r="O171" s="218">
        <f t="shared" si="5"/>
        <v>0</v>
      </c>
      <c r="P171" s="218">
        <f>O171+OCT!P171</f>
        <v>0</v>
      </c>
      <c r="Q171" s="59"/>
      <c r="R171" s="51"/>
      <c r="S171" s="65"/>
      <c r="T171" s="64"/>
      <c r="U171" s="67"/>
      <c r="V171" s="74"/>
      <c r="W171" s="6">
        <f>'CLIENT ENROLLMENT DISCHARGE '!M171</f>
        <v>0</v>
      </c>
      <c r="X171" s="76"/>
      <c r="Y171" s="180"/>
    </row>
    <row r="172" spans="1:25" ht="50.1" customHeight="1" x14ac:dyDescent="0.25">
      <c r="A172" s="5">
        <f t="shared" si="4"/>
        <v>158</v>
      </c>
      <c r="B172" s="10">
        <f>'CLIENT ENROLLMENT DISCHARGE '!B172</f>
        <v>0</v>
      </c>
      <c r="C172" s="4">
        <f>'CLIENT ENROLLMENT DISCHARGE '!C172</f>
        <v>0</v>
      </c>
      <c r="D172" s="52"/>
      <c r="E172" s="53"/>
      <c r="F172" s="52"/>
      <c r="G172" s="53"/>
      <c r="H172" s="63"/>
      <c r="I172" s="116"/>
      <c r="J172" s="3"/>
      <c r="K172" s="71"/>
      <c r="L172" s="53"/>
      <c r="M172" s="2"/>
      <c r="N172" s="1"/>
      <c r="O172" s="218">
        <f t="shared" si="5"/>
        <v>0</v>
      </c>
      <c r="P172" s="218">
        <f>O172+OCT!P172</f>
        <v>0</v>
      </c>
      <c r="Q172" s="60"/>
      <c r="R172" s="52"/>
      <c r="S172" s="66"/>
      <c r="T172" s="65"/>
      <c r="U172" s="68"/>
      <c r="V172" s="59"/>
      <c r="W172" s="6">
        <f>'CLIENT ENROLLMENT DISCHARGE '!M172</f>
        <v>0</v>
      </c>
      <c r="X172" s="76"/>
      <c r="Y172" s="180"/>
    </row>
    <row r="173" spans="1:25" ht="50.1" customHeight="1" x14ac:dyDescent="0.25">
      <c r="A173" s="5">
        <f t="shared" si="4"/>
        <v>159</v>
      </c>
      <c r="B173" s="10">
        <f>'CLIENT ENROLLMENT DISCHARGE '!B173</f>
        <v>0</v>
      </c>
      <c r="C173" s="4">
        <f>'CLIENT ENROLLMENT DISCHARGE '!C173</f>
        <v>0</v>
      </c>
      <c r="D173" s="51"/>
      <c r="E173" s="52"/>
      <c r="F173" s="51"/>
      <c r="G173" s="52"/>
      <c r="H173" s="62"/>
      <c r="I173" s="115"/>
      <c r="J173" s="9"/>
      <c r="K173" s="70"/>
      <c r="L173" s="52"/>
      <c r="M173" s="8"/>
      <c r="N173" s="7"/>
      <c r="O173" s="218">
        <f t="shared" si="5"/>
        <v>0</v>
      </c>
      <c r="P173" s="218">
        <f>O173+OCT!P173</f>
        <v>0</v>
      </c>
      <c r="Q173" s="59"/>
      <c r="R173" s="51"/>
      <c r="S173" s="65"/>
      <c r="T173" s="64"/>
      <c r="U173" s="67"/>
      <c r="V173" s="74"/>
      <c r="W173" s="6">
        <f>'CLIENT ENROLLMENT DISCHARGE '!M173</f>
        <v>0</v>
      </c>
      <c r="X173" s="76"/>
      <c r="Y173" s="180"/>
    </row>
    <row r="174" spans="1:25" ht="50.1" customHeight="1" x14ac:dyDescent="0.25">
      <c r="A174" s="5">
        <f t="shared" si="4"/>
        <v>160</v>
      </c>
      <c r="B174" s="10">
        <f>'CLIENT ENROLLMENT DISCHARGE '!B174</f>
        <v>0</v>
      </c>
      <c r="C174" s="4">
        <f>'CLIENT ENROLLMENT DISCHARGE '!C174</f>
        <v>0</v>
      </c>
      <c r="D174" s="52"/>
      <c r="E174" s="53"/>
      <c r="F174" s="52"/>
      <c r="G174" s="53"/>
      <c r="H174" s="63"/>
      <c r="I174" s="116"/>
      <c r="J174" s="3"/>
      <c r="K174" s="71"/>
      <c r="L174" s="53"/>
      <c r="M174" s="2"/>
      <c r="N174" s="1"/>
      <c r="O174" s="218">
        <f t="shared" si="5"/>
        <v>0</v>
      </c>
      <c r="P174" s="218">
        <f>O174+OCT!P174</f>
        <v>0</v>
      </c>
      <c r="Q174" s="60"/>
      <c r="R174" s="52"/>
      <c r="S174" s="66"/>
      <c r="T174" s="65"/>
      <c r="U174" s="68"/>
      <c r="V174" s="59"/>
      <c r="W174" s="6">
        <f>'CLIENT ENROLLMENT DISCHARGE '!M174</f>
        <v>0</v>
      </c>
      <c r="X174" s="76"/>
      <c r="Y174" s="180"/>
    </row>
    <row r="175" spans="1:25" ht="50.1" customHeight="1" x14ac:dyDescent="0.25">
      <c r="A175" s="5">
        <f t="shared" si="4"/>
        <v>161</v>
      </c>
      <c r="B175" s="10">
        <f>'CLIENT ENROLLMENT DISCHARGE '!B175</f>
        <v>0</v>
      </c>
      <c r="C175" s="4">
        <f>'CLIENT ENROLLMENT DISCHARGE '!C175</f>
        <v>0</v>
      </c>
      <c r="D175" s="51"/>
      <c r="E175" s="52"/>
      <c r="F175" s="51"/>
      <c r="G175" s="52"/>
      <c r="H175" s="62"/>
      <c r="I175" s="115"/>
      <c r="J175" s="9"/>
      <c r="K175" s="70"/>
      <c r="L175" s="52"/>
      <c r="M175" s="8"/>
      <c r="N175" s="7"/>
      <c r="O175" s="218">
        <f t="shared" si="5"/>
        <v>0</v>
      </c>
      <c r="P175" s="218">
        <f>O175+OCT!P175</f>
        <v>0</v>
      </c>
      <c r="Q175" s="59"/>
      <c r="R175" s="51"/>
      <c r="S175" s="65"/>
      <c r="T175" s="64"/>
      <c r="U175" s="67"/>
      <c r="V175" s="74"/>
      <c r="W175" s="6">
        <f>'CLIENT ENROLLMENT DISCHARGE '!M175</f>
        <v>0</v>
      </c>
      <c r="X175" s="76"/>
      <c r="Y175" s="180"/>
    </row>
    <row r="176" spans="1:25" ht="50.1" customHeight="1" x14ac:dyDescent="0.25">
      <c r="A176" s="5">
        <f t="shared" si="4"/>
        <v>162</v>
      </c>
      <c r="B176" s="10">
        <f>'CLIENT ENROLLMENT DISCHARGE '!B176</f>
        <v>0</v>
      </c>
      <c r="C176" s="4">
        <f>'CLIENT ENROLLMENT DISCHARGE '!C176</f>
        <v>0</v>
      </c>
      <c r="D176" s="52"/>
      <c r="E176" s="53"/>
      <c r="F176" s="52"/>
      <c r="G176" s="53"/>
      <c r="H176" s="63"/>
      <c r="I176" s="116"/>
      <c r="J176" s="3"/>
      <c r="K176" s="71"/>
      <c r="L176" s="53"/>
      <c r="M176" s="2"/>
      <c r="N176" s="1"/>
      <c r="O176" s="218">
        <f t="shared" si="5"/>
        <v>0</v>
      </c>
      <c r="P176" s="218">
        <f>O176+OCT!P176</f>
        <v>0</v>
      </c>
      <c r="Q176" s="60"/>
      <c r="R176" s="52"/>
      <c r="S176" s="66"/>
      <c r="T176" s="65"/>
      <c r="U176" s="68"/>
      <c r="V176" s="59"/>
      <c r="W176" s="6">
        <f>'CLIENT ENROLLMENT DISCHARGE '!M176</f>
        <v>0</v>
      </c>
      <c r="X176" s="76"/>
      <c r="Y176" s="180"/>
    </row>
    <row r="177" spans="1:25" ht="50.1" customHeight="1" x14ac:dyDescent="0.25">
      <c r="A177" s="5">
        <f t="shared" si="4"/>
        <v>163</v>
      </c>
      <c r="B177" s="10">
        <f>'CLIENT ENROLLMENT DISCHARGE '!B177</f>
        <v>0</v>
      </c>
      <c r="C177" s="4">
        <f>'CLIENT ENROLLMENT DISCHARGE '!C177</f>
        <v>0</v>
      </c>
      <c r="D177" s="51"/>
      <c r="E177" s="52"/>
      <c r="F177" s="51"/>
      <c r="G177" s="52"/>
      <c r="H177" s="62"/>
      <c r="I177" s="115"/>
      <c r="J177" s="9"/>
      <c r="K177" s="70"/>
      <c r="L177" s="52"/>
      <c r="M177" s="8"/>
      <c r="N177" s="7"/>
      <c r="O177" s="218">
        <f t="shared" si="5"/>
        <v>0</v>
      </c>
      <c r="P177" s="218">
        <f>O177+OCT!P177</f>
        <v>0</v>
      </c>
      <c r="Q177" s="59"/>
      <c r="R177" s="51"/>
      <c r="S177" s="65"/>
      <c r="T177" s="64"/>
      <c r="U177" s="67"/>
      <c r="V177" s="74"/>
      <c r="W177" s="6">
        <f>'CLIENT ENROLLMENT DISCHARGE '!M177</f>
        <v>0</v>
      </c>
      <c r="X177" s="76"/>
      <c r="Y177" s="180"/>
    </row>
    <row r="178" spans="1:25" ht="50.1" customHeight="1" x14ac:dyDescent="0.25">
      <c r="A178" s="5">
        <f t="shared" si="4"/>
        <v>164</v>
      </c>
      <c r="B178" s="10">
        <f>'CLIENT ENROLLMENT DISCHARGE '!B178</f>
        <v>0</v>
      </c>
      <c r="C178" s="4">
        <f>'CLIENT ENROLLMENT DISCHARGE '!C178</f>
        <v>0</v>
      </c>
      <c r="D178" s="52"/>
      <c r="E178" s="53"/>
      <c r="F178" s="52"/>
      <c r="G178" s="53"/>
      <c r="H178" s="63"/>
      <c r="I178" s="116"/>
      <c r="J178" s="3"/>
      <c r="K178" s="71"/>
      <c r="L178" s="53"/>
      <c r="M178" s="2"/>
      <c r="N178" s="1"/>
      <c r="O178" s="218">
        <f t="shared" si="5"/>
        <v>0</v>
      </c>
      <c r="P178" s="218">
        <f>O178+OCT!P178</f>
        <v>0</v>
      </c>
      <c r="Q178" s="60"/>
      <c r="R178" s="52"/>
      <c r="S178" s="66"/>
      <c r="T178" s="65"/>
      <c r="U178" s="68"/>
      <c r="V178" s="59"/>
      <c r="W178" s="6">
        <f>'CLIENT ENROLLMENT DISCHARGE '!M178</f>
        <v>0</v>
      </c>
      <c r="X178" s="76"/>
      <c r="Y178" s="180"/>
    </row>
    <row r="179" spans="1:25" ht="50.1" customHeight="1" x14ac:dyDescent="0.25">
      <c r="A179" s="5">
        <f t="shared" si="4"/>
        <v>165</v>
      </c>
      <c r="B179" s="10">
        <f>'CLIENT ENROLLMENT DISCHARGE '!B179</f>
        <v>0</v>
      </c>
      <c r="C179" s="4">
        <f>'CLIENT ENROLLMENT DISCHARGE '!C179</f>
        <v>0</v>
      </c>
      <c r="D179" s="51"/>
      <c r="E179" s="52"/>
      <c r="F179" s="51"/>
      <c r="G179" s="52"/>
      <c r="H179" s="62"/>
      <c r="I179" s="115"/>
      <c r="J179" s="9"/>
      <c r="K179" s="70"/>
      <c r="L179" s="52"/>
      <c r="M179" s="8"/>
      <c r="N179" s="7"/>
      <c r="O179" s="218">
        <f t="shared" si="5"/>
        <v>0</v>
      </c>
      <c r="P179" s="218">
        <f>O179+OCT!P179</f>
        <v>0</v>
      </c>
      <c r="Q179" s="59"/>
      <c r="R179" s="51"/>
      <c r="S179" s="65"/>
      <c r="T179" s="64"/>
      <c r="U179" s="67"/>
      <c r="V179" s="74"/>
      <c r="W179" s="6">
        <f>'CLIENT ENROLLMENT DISCHARGE '!M179</f>
        <v>0</v>
      </c>
      <c r="X179" s="76"/>
      <c r="Y179" s="180"/>
    </row>
    <row r="180" spans="1:25" ht="50.1" customHeight="1" x14ac:dyDescent="0.25">
      <c r="A180" s="5">
        <f t="shared" si="4"/>
        <v>166</v>
      </c>
      <c r="B180" s="10">
        <f>'CLIENT ENROLLMENT DISCHARGE '!B180</f>
        <v>0</v>
      </c>
      <c r="C180" s="4">
        <f>'CLIENT ENROLLMENT DISCHARGE '!C180</f>
        <v>0</v>
      </c>
      <c r="D180" s="52"/>
      <c r="E180" s="53"/>
      <c r="F180" s="52"/>
      <c r="G180" s="53"/>
      <c r="H180" s="63"/>
      <c r="I180" s="116"/>
      <c r="J180" s="3"/>
      <c r="K180" s="71"/>
      <c r="L180" s="53"/>
      <c r="M180" s="2"/>
      <c r="N180" s="1"/>
      <c r="O180" s="218">
        <f t="shared" si="5"/>
        <v>0</v>
      </c>
      <c r="P180" s="218">
        <f>O180+OCT!P180</f>
        <v>0</v>
      </c>
      <c r="Q180" s="60"/>
      <c r="R180" s="52"/>
      <c r="S180" s="66"/>
      <c r="T180" s="65"/>
      <c r="U180" s="68"/>
      <c r="V180" s="75"/>
      <c r="W180" s="6">
        <f>'CLIENT ENROLLMENT DISCHARGE '!M180</f>
        <v>0</v>
      </c>
      <c r="X180" s="76"/>
      <c r="Y180" s="180"/>
    </row>
    <row r="181" spans="1:25" ht="50.1" customHeight="1" x14ac:dyDescent="0.25">
      <c r="A181" s="5">
        <f t="shared" si="4"/>
        <v>167</v>
      </c>
      <c r="B181" s="10">
        <f>'CLIENT ENROLLMENT DISCHARGE '!B181</f>
        <v>0</v>
      </c>
      <c r="C181" s="4">
        <f>'CLIENT ENROLLMENT DISCHARGE '!C181</f>
        <v>0</v>
      </c>
      <c r="D181" s="51"/>
      <c r="E181" s="52"/>
      <c r="F181" s="51"/>
      <c r="G181" s="52"/>
      <c r="H181" s="62"/>
      <c r="I181" s="115"/>
      <c r="J181" s="9"/>
      <c r="K181" s="70"/>
      <c r="L181" s="52"/>
      <c r="M181" s="8"/>
      <c r="N181" s="7"/>
      <c r="O181" s="218">
        <f t="shared" si="5"/>
        <v>0</v>
      </c>
      <c r="P181" s="218">
        <f>O181+OCT!P181</f>
        <v>0</v>
      </c>
      <c r="Q181" s="59"/>
      <c r="R181" s="51"/>
      <c r="S181" s="65"/>
      <c r="T181" s="64"/>
      <c r="U181" s="67"/>
      <c r="V181" s="74"/>
      <c r="W181" s="6">
        <f>'CLIENT ENROLLMENT DISCHARGE '!M181</f>
        <v>0</v>
      </c>
      <c r="X181" s="76"/>
      <c r="Y181" s="180"/>
    </row>
    <row r="182" spans="1:25" ht="50.1" customHeight="1" x14ac:dyDescent="0.25">
      <c r="A182" s="5">
        <f t="shared" si="4"/>
        <v>168</v>
      </c>
      <c r="B182" s="10">
        <f>'CLIENT ENROLLMENT DISCHARGE '!B182</f>
        <v>0</v>
      </c>
      <c r="C182" s="4">
        <f>'CLIENT ENROLLMENT DISCHARGE '!C182</f>
        <v>0</v>
      </c>
      <c r="D182" s="52"/>
      <c r="E182" s="53"/>
      <c r="F182" s="52"/>
      <c r="G182" s="53"/>
      <c r="H182" s="63"/>
      <c r="I182" s="116"/>
      <c r="J182" s="3"/>
      <c r="K182" s="71"/>
      <c r="L182" s="53"/>
      <c r="M182" s="2"/>
      <c r="N182" s="1"/>
      <c r="O182" s="218">
        <f t="shared" si="5"/>
        <v>0</v>
      </c>
      <c r="P182" s="218">
        <f>O182+OCT!P182</f>
        <v>0</v>
      </c>
      <c r="Q182" s="60"/>
      <c r="R182" s="52"/>
      <c r="S182" s="66"/>
      <c r="T182" s="65"/>
      <c r="U182" s="68"/>
      <c r="V182" s="59"/>
      <c r="W182" s="6">
        <f>'CLIENT ENROLLMENT DISCHARGE '!M182</f>
        <v>0</v>
      </c>
      <c r="X182" s="76"/>
      <c r="Y182" s="180"/>
    </row>
    <row r="183" spans="1:25" ht="50.1" customHeight="1" x14ac:dyDescent="0.25">
      <c r="A183" s="5">
        <f t="shared" si="4"/>
        <v>169</v>
      </c>
      <c r="B183" s="10">
        <f>'CLIENT ENROLLMENT DISCHARGE '!B183</f>
        <v>0</v>
      </c>
      <c r="C183" s="4">
        <f>'CLIENT ENROLLMENT DISCHARGE '!C183</f>
        <v>0</v>
      </c>
      <c r="D183" s="51"/>
      <c r="E183" s="52"/>
      <c r="F183" s="51"/>
      <c r="G183" s="52"/>
      <c r="H183" s="62"/>
      <c r="I183" s="115"/>
      <c r="J183" s="9"/>
      <c r="K183" s="70"/>
      <c r="L183" s="52"/>
      <c r="M183" s="8"/>
      <c r="N183" s="7"/>
      <c r="O183" s="218">
        <f t="shared" si="5"/>
        <v>0</v>
      </c>
      <c r="P183" s="218">
        <f>O183+OCT!P183</f>
        <v>0</v>
      </c>
      <c r="Q183" s="59"/>
      <c r="R183" s="51"/>
      <c r="S183" s="65"/>
      <c r="T183" s="64"/>
      <c r="U183" s="67"/>
      <c r="V183" s="74"/>
      <c r="W183" s="6">
        <f>'CLIENT ENROLLMENT DISCHARGE '!M183</f>
        <v>0</v>
      </c>
      <c r="X183" s="76"/>
      <c r="Y183" s="180"/>
    </row>
    <row r="184" spans="1:25" ht="50.1" customHeight="1" x14ac:dyDescent="0.25">
      <c r="A184" s="5">
        <f t="shared" si="4"/>
        <v>170</v>
      </c>
      <c r="B184" s="10">
        <f>'CLIENT ENROLLMENT DISCHARGE '!B184</f>
        <v>0</v>
      </c>
      <c r="C184" s="4">
        <f>'CLIENT ENROLLMENT DISCHARGE '!C184</f>
        <v>0</v>
      </c>
      <c r="D184" s="52"/>
      <c r="E184" s="53"/>
      <c r="F184" s="52"/>
      <c r="G184" s="53"/>
      <c r="H184" s="63"/>
      <c r="I184" s="116"/>
      <c r="J184" s="3"/>
      <c r="K184" s="71"/>
      <c r="L184" s="53"/>
      <c r="M184" s="2"/>
      <c r="N184" s="1"/>
      <c r="O184" s="218">
        <f t="shared" si="5"/>
        <v>0</v>
      </c>
      <c r="P184" s="218">
        <f>O184+OCT!P184</f>
        <v>0</v>
      </c>
      <c r="Q184" s="60"/>
      <c r="R184" s="52"/>
      <c r="S184" s="66"/>
      <c r="T184" s="65"/>
      <c r="U184" s="68"/>
      <c r="V184" s="59"/>
      <c r="W184" s="6">
        <f>'CLIENT ENROLLMENT DISCHARGE '!M184</f>
        <v>0</v>
      </c>
      <c r="X184" s="76"/>
      <c r="Y184" s="180"/>
    </row>
    <row r="185" spans="1:25" ht="50.1" customHeight="1" x14ac:dyDescent="0.25">
      <c r="A185" s="5">
        <f t="shared" si="4"/>
        <v>171</v>
      </c>
      <c r="B185" s="10">
        <f>'CLIENT ENROLLMENT DISCHARGE '!B185</f>
        <v>0</v>
      </c>
      <c r="C185" s="4">
        <f>'CLIENT ENROLLMENT DISCHARGE '!C185</f>
        <v>0</v>
      </c>
      <c r="D185" s="51"/>
      <c r="E185" s="52"/>
      <c r="F185" s="51"/>
      <c r="G185" s="52"/>
      <c r="H185" s="62"/>
      <c r="I185" s="115"/>
      <c r="J185" s="9"/>
      <c r="K185" s="70"/>
      <c r="L185" s="52"/>
      <c r="M185" s="8"/>
      <c r="N185" s="7"/>
      <c r="O185" s="218">
        <f t="shared" si="5"/>
        <v>0</v>
      </c>
      <c r="P185" s="218">
        <f>O185+OCT!P185</f>
        <v>0</v>
      </c>
      <c r="Q185" s="59"/>
      <c r="R185" s="51"/>
      <c r="S185" s="65"/>
      <c r="T185" s="64"/>
      <c r="U185" s="67"/>
      <c r="V185" s="74"/>
      <c r="W185" s="6">
        <f>'CLIENT ENROLLMENT DISCHARGE '!M185</f>
        <v>0</v>
      </c>
      <c r="X185" s="76"/>
      <c r="Y185" s="180"/>
    </row>
    <row r="186" spans="1:25" ht="50.1" customHeight="1" x14ac:dyDescent="0.25">
      <c r="A186" s="5">
        <f t="shared" si="4"/>
        <v>172</v>
      </c>
      <c r="B186" s="10">
        <f>'CLIENT ENROLLMENT DISCHARGE '!B186</f>
        <v>0</v>
      </c>
      <c r="C186" s="4">
        <f>'CLIENT ENROLLMENT DISCHARGE '!C186</f>
        <v>0</v>
      </c>
      <c r="D186" s="52"/>
      <c r="E186" s="53"/>
      <c r="F186" s="52"/>
      <c r="G186" s="53"/>
      <c r="H186" s="63"/>
      <c r="I186" s="116"/>
      <c r="J186" s="3"/>
      <c r="K186" s="71"/>
      <c r="L186" s="53"/>
      <c r="M186" s="2"/>
      <c r="N186" s="1"/>
      <c r="O186" s="218">
        <f t="shared" si="5"/>
        <v>0</v>
      </c>
      <c r="P186" s="218">
        <f>O186+OCT!P186</f>
        <v>0</v>
      </c>
      <c r="Q186" s="60"/>
      <c r="R186" s="52"/>
      <c r="S186" s="66"/>
      <c r="T186" s="65"/>
      <c r="U186" s="68"/>
      <c r="V186" s="59"/>
      <c r="W186" s="6">
        <f>'CLIENT ENROLLMENT DISCHARGE '!M186</f>
        <v>0</v>
      </c>
      <c r="X186" s="76"/>
      <c r="Y186" s="180"/>
    </row>
    <row r="187" spans="1:25" ht="50.1" customHeight="1" x14ac:dyDescent="0.25">
      <c r="A187" s="5">
        <f t="shared" si="4"/>
        <v>173</v>
      </c>
      <c r="B187" s="10">
        <f>'CLIENT ENROLLMENT DISCHARGE '!B187</f>
        <v>0</v>
      </c>
      <c r="C187" s="4">
        <f>'CLIENT ENROLLMENT DISCHARGE '!C187</f>
        <v>0</v>
      </c>
      <c r="D187" s="51"/>
      <c r="E187" s="52"/>
      <c r="F187" s="51"/>
      <c r="G187" s="52"/>
      <c r="H187" s="62"/>
      <c r="I187" s="115"/>
      <c r="J187" s="9"/>
      <c r="K187" s="70"/>
      <c r="L187" s="52"/>
      <c r="M187" s="8"/>
      <c r="N187" s="7"/>
      <c r="O187" s="218">
        <f t="shared" si="5"/>
        <v>0</v>
      </c>
      <c r="P187" s="218">
        <f>O187+OCT!P187</f>
        <v>0</v>
      </c>
      <c r="Q187" s="59"/>
      <c r="R187" s="51"/>
      <c r="S187" s="65"/>
      <c r="T187" s="64"/>
      <c r="U187" s="67"/>
      <c r="V187" s="74"/>
      <c r="W187" s="6">
        <f>'CLIENT ENROLLMENT DISCHARGE '!M187</f>
        <v>0</v>
      </c>
      <c r="X187" s="76"/>
      <c r="Y187" s="180"/>
    </row>
    <row r="188" spans="1:25" ht="50.1" customHeight="1" x14ac:dyDescent="0.25">
      <c r="A188" s="5">
        <f t="shared" si="4"/>
        <v>174</v>
      </c>
      <c r="B188" s="10">
        <f>'CLIENT ENROLLMENT DISCHARGE '!B188</f>
        <v>0</v>
      </c>
      <c r="C188" s="4">
        <f>'CLIENT ENROLLMENT DISCHARGE '!C188</f>
        <v>0</v>
      </c>
      <c r="D188" s="52"/>
      <c r="E188" s="53"/>
      <c r="F188" s="52"/>
      <c r="G188" s="53"/>
      <c r="H188" s="63"/>
      <c r="I188" s="116"/>
      <c r="J188" s="3"/>
      <c r="K188" s="71"/>
      <c r="L188" s="53"/>
      <c r="M188" s="2"/>
      <c r="N188" s="1"/>
      <c r="O188" s="218">
        <f t="shared" si="5"/>
        <v>0</v>
      </c>
      <c r="P188" s="218">
        <f>O188+OCT!P188</f>
        <v>0</v>
      </c>
      <c r="Q188" s="60"/>
      <c r="R188" s="52"/>
      <c r="S188" s="66"/>
      <c r="T188" s="65"/>
      <c r="U188" s="68"/>
      <c r="V188" s="59"/>
      <c r="W188" s="6">
        <f>'CLIENT ENROLLMENT DISCHARGE '!M188</f>
        <v>0</v>
      </c>
      <c r="X188" s="76"/>
      <c r="Y188" s="180"/>
    </row>
    <row r="189" spans="1:25" ht="50.1" customHeight="1" x14ac:dyDescent="0.25">
      <c r="A189" s="5">
        <f t="shared" si="4"/>
        <v>175</v>
      </c>
      <c r="B189" s="10">
        <f>'CLIENT ENROLLMENT DISCHARGE '!B189</f>
        <v>0</v>
      </c>
      <c r="C189" s="4">
        <f>'CLIENT ENROLLMENT DISCHARGE '!C189</f>
        <v>0</v>
      </c>
      <c r="D189" s="51"/>
      <c r="E189" s="52"/>
      <c r="F189" s="51"/>
      <c r="G189" s="52"/>
      <c r="H189" s="62"/>
      <c r="I189" s="115"/>
      <c r="J189" s="9"/>
      <c r="K189" s="70"/>
      <c r="L189" s="52"/>
      <c r="M189" s="8"/>
      <c r="N189" s="7"/>
      <c r="O189" s="218">
        <f t="shared" si="5"/>
        <v>0</v>
      </c>
      <c r="P189" s="218">
        <f>O189+OCT!P189</f>
        <v>0</v>
      </c>
      <c r="Q189" s="59"/>
      <c r="R189" s="51"/>
      <c r="S189" s="65"/>
      <c r="T189" s="64"/>
      <c r="U189" s="67"/>
      <c r="V189" s="74"/>
      <c r="W189" s="6">
        <f>'CLIENT ENROLLMENT DISCHARGE '!M189</f>
        <v>0</v>
      </c>
      <c r="X189" s="76"/>
      <c r="Y189" s="180"/>
    </row>
    <row r="190" spans="1:25" ht="50.1" customHeight="1" x14ac:dyDescent="0.25">
      <c r="A190" s="5">
        <f t="shared" si="4"/>
        <v>176</v>
      </c>
      <c r="B190" s="10">
        <f>'CLIENT ENROLLMENT DISCHARGE '!B190</f>
        <v>0</v>
      </c>
      <c r="C190" s="4">
        <f>'CLIENT ENROLLMENT DISCHARGE '!C190</f>
        <v>0</v>
      </c>
      <c r="D190" s="52"/>
      <c r="E190" s="53"/>
      <c r="F190" s="52"/>
      <c r="G190" s="53"/>
      <c r="H190" s="63"/>
      <c r="I190" s="116"/>
      <c r="J190" s="3"/>
      <c r="K190" s="71"/>
      <c r="L190" s="53"/>
      <c r="M190" s="2"/>
      <c r="N190" s="1"/>
      <c r="O190" s="218">
        <f t="shared" si="5"/>
        <v>0</v>
      </c>
      <c r="P190" s="218">
        <f>O190+OCT!P190</f>
        <v>0</v>
      </c>
      <c r="Q190" s="60"/>
      <c r="R190" s="52"/>
      <c r="S190" s="66"/>
      <c r="T190" s="65"/>
      <c r="U190" s="68"/>
      <c r="V190" s="75"/>
      <c r="W190" s="6">
        <f>'CLIENT ENROLLMENT DISCHARGE '!M190</f>
        <v>0</v>
      </c>
      <c r="X190" s="76"/>
      <c r="Y190" s="180"/>
    </row>
    <row r="191" spans="1:25" ht="50.1" customHeight="1" x14ac:dyDescent="0.25">
      <c r="A191" s="5">
        <f t="shared" si="4"/>
        <v>177</v>
      </c>
      <c r="B191" s="10">
        <f>'CLIENT ENROLLMENT DISCHARGE '!B191</f>
        <v>0</v>
      </c>
      <c r="C191" s="4">
        <f>'CLIENT ENROLLMENT DISCHARGE '!C191</f>
        <v>0</v>
      </c>
      <c r="D191" s="51"/>
      <c r="E191" s="52"/>
      <c r="F191" s="51"/>
      <c r="G191" s="52"/>
      <c r="H191" s="62"/>
      <c r="I191" s="115"/>
      <c r="J191" s="9"/>
      <c r="K191" s="70"/>
      <c r="L191" s="52"/>
      <c r="M191" s="8"/>
      <c r="N191" s="7"/>
      <c r="O191" s="218">
        <f t="shared" si="5"/>
        <v>0</v>
      </c>
      <c r="P191" s="218">
        <f>O191+OCT!P191</f>
        <v>0</v>
      </c>
      <c r="Q191" s="59"/>
      <c r="R191" s="51"/>
      <c r="S191" s="65"/>
      <c r="T191" s="64"/>
      <c r="U191" s="67"/>
      <c r="V191" s="74"/>
      <c r="W191" s="6">
        <f>'CLIENT ENROLLMENT DISCHARGE '!M191</f>
        <v>0</v>
      </c>
      <c r="X191" s="76"/>
      <c r="Y191" s="180"/>
    </row>
    <row r="192" spans="1:25" ht="50.1" customHeight="1" x14ac:dyDescent="0.25">
      <c r="A192" s="5">
        <f t="shared" si="4"/>
        <v>178</v>
      </c>
      <c r="B192" s="10">
        <f>'CLIENT ENROLLMENT DISCHARGE '!B192</f>
        <v>0</v>
      </c>
      <c r="C192" s="4">
        <f>'CLIENT ENROLLMENT DISCHARGE '!C192</f>
        <v>0</v>
      </c>
      <c r="D192" s="52"/>
      <c r="E192" s="53"/>
      <c r="F192" s="52"/>
      <c r="G192" s="53"/>
      <c r="H192" s="63"/>
      <c r="I192" s="116"/>
      <c r="J192" s="3"/>
      <c r="K192" s="71"/>
      <c r="L192" s="53"/>
      <c r="M192" s="2"/>
      <c r="N192" s="1"/>
      <c r="O192" s="218">
        <f t="shared" si="5"/>
        <v>0</v>
      </c>
      <c r="P192" s="218">
        <f>O192+OCT!P192</f>
        <v>0</v>
      </c>
      <c r="Q192" s="60"/>
      <c r="R192" s="52"/>
      <c r="S192" s="66"/>
      <c r="T192" s="65"/>
      <c r="U192" s="68"/>
      <c r="V192" s="59"/>
      <c r="W192" s="6">
        <f>'CLIENT ENROLLMENT DISCHARGE '!M192</f>
        <v>0</v>
      </c>
      <c r="X192" s="76"/>
      <c r="Y192" s="180"/>
    </row>
    <row r="193" spans="1:25" ht="50.1" customHeight="1" x14ac:dyDescent="0.25">
      <c r="A193" s="5">
        <f t="shared" si="4"/>
        <v>179</v>
      </c>
      <c r="B193" s="10">
        <f>'CLIENT ENROLLMENT DISCHARGE '!B193</f>
        <v>0</v>
      </c>
      <c r="C193" s="4">
        <f>'CLIENT ENROLLMENT DISCHARGE '!C193</f>
        <v>0</v>
      </c>
      <c r="D193" s="51"/>
      <c r="E193" s="52"/>
      <c r="F193" s="51"/>
      <c r="G193" s="52"/>
      <c r="H193" s="62"/>
      <c r="I193" s="115"/>
      <c r="J193" s="9"/>
      <c r="K193" s="70"/>
      <c r="L193" s="52"/>
      <c r="M193" s="8"/>
      <c r="N193" s="7"/>
      <c r="O193" s="218">
        <f t="shared" si="5"/>
        <v>0</v>
      </c>
      <c r="P193" s="218">
        <f>O193+OCT!P193</f>
        <v>0</v>
      </c>
      <c r="Q193" s="59"/>
      <c r="R193" s="51"/>
      <c r="S193" s="65"/>
      <c r="T193" s="64"/>
      <c r="U193" s="67"/>
      <c r="V193" s="74"/>
      <c r="W193" s="6">
        <f>'CLIENT ENROLLMENT DISCHARGE '!M193</f>
        <v>0</v>
      </c>
      <c r="X193" s="76"/>
      <c r="Y193" s="180"/>
    </row>
    <row r="194" spans="1:25" ht="50.1" customHeight="1" x14ac:dyDescent="0.25">
      <c r="A194" s="5">
        <f t="shared" si="4"/>
        <v>180</v>
      </c>
      <c r="B194" s="10">
        <f>'CLIENT ENROLLMENT DISCHARGE '!B194</f>
        <v>0</v>
      </c>
      <c r="C194" s="4">
        <f>'CLIENT ENROLLMENT DISCHARGE '!C194</f>
        <v>0</v>
      </c>
      <c r="D194" s="52"/>
      <c r="E194" s="53"/>
      <c r="F194" s="52"/>
      <c r="G194" s="53"/>
      <c r="H194" s="63"/>
      <c r="I194" s="116"/>
      <c r="J194" s="3"/>
      <c r="K194" s="71"/>
      <c r="L194" s="53"/>
      <c r="M194" s="2"/>
      <c r="N194" s="1"/>
      <c r="O194" s="218">
        <f t="shared" si="5"/>
        <v>0</v>
      </c>
      <c r="P194" s="218">
        <f>O194+OCT!P194</f>
        <v>0</v>
      </c>
      <c r="Q194" s="60"/>
      <c r="R194" s="52"/>
      <c r="S194" s="66"/>
      <c r="T194" s="65"/>
      <c r="U194" s="68"/>
      <c r="V194" s="59"/>
      <c r="W194" s="6">
        <f>'CLIENT ENROLLMENT DISCHARGE '!M194</f>
        <v>0</v>
      </c>
      <c r="X194" s="76"/>
      <c r="Y194" s="180"/>
    </row>
    <row r="195" spans="1:25" ht="50.1" customHeight="1" x14ac:dyDescent="0.25">
      <c r="A195" s="5">
        <f t="shared" si="4"/>
        <v>181</v>
      </c>
      <c r="B195" s="10">
        <f>'CLIENT ENROLLMENT DISCHARGE '!B195</f>
        <v>0</v>
      </c>
      <c r="C195" s="4">
        <f>'CLIENT ENROLLMENT DISCHARGE '!C195</f>
        <v>0</v>
      </c>
      <c r="D195" s="51"/>
      <c r="E195" s="52"/>
      <c r="F195" s="51"/>
      <c r="G195" s="52"/>
      <c r="H195" s="62"/>
      <c r="I195" s="115"/>
      <c r="J195" s="9"/>
      <c r="K195" s="70"/>
      <c r="L195" s="52"/>
      <c r="M195" s="8"/>
      <c r="N195" s="7"/>
      <c r="O195" s="218">
        <f t="shared" si="5"/>
        <v>0</v>
      </c>
      <c r="P195" s="218">
        <f>O195+OCT!P195</f>
        <v>0</v>
      </c>
      <c r="Q195" s="59"/>
      <c r="R195" s="51"/>
      <c r="S195" s="65"/>
      <c r="T195" s="64"/>
      <c r="U195" s="67"/>
      <c r="V195" s="74"/>
      <c r="W195" s="6">
        <f>'CLIENT ENROLLMENT DISCHARGE '!M195</f>
        <v>0</v>
      </c>
      <c r="X195" s="76"/>
      <c r="Y195" s="180"/>
    </row>
    <row r="196" spans="1:25" ht="50.1" customHeight="1" x14ac:dyDescent="0.25">
      <c r="A196" s="5">
        <f t="shared" si="4"/>
        <v>182</v>
      </c>
      <c r="B196" s="10">
        <f>'CLIENT ENROLLMENT DISCHARGE '!B196</f>
        <v>0</v>
      </c>
      <c r="C196" s="4">
        <f>'CLIENT ENROLLMENT DISCHARGE '!C196</f>
        <v>0</v>
      </c>
      <c r="D196" s="52"/>
      <c r="E196" s="53"/>
      <c r="F196" s="52"/>
      <c r="G196" s="53"/>
      <c r="H196" s="63"/>
      <c r="I196" s="116"/>
      <c r="J196" s="3"/>
      <c r="K196" s="71"/>
      <c r="L196" s="53"/>
      <c r="M196" s="2"/>
      <c r="N196" s="1"/>
      <c r="O196" s="218">
        <f t="shared" si="5"/>
        <v>0</v>
      </c>
      <c r="P196" s="218">
        <f>O196+OCT!P196</f>
        <v>0</v>
      </c>
      <c r="Q196" s="60"/>
      <c r="R196" s="52"/>
      <c r="S196" s="66"/>
      <c r="T196" s="65"/>
      <c r="U196" s="68"/>
      <c r="V196" s="59"/>
      <c r="W196" s="6">
        <f>'CLIENT ENROLLMENT DISCHARGE '!M196</f>
        <v>0</v>
      </c>
      <c r="X196" s="76"/>
      <c r="Y196" s="180"/>
    </row>
    <row r="197" spans="1:25" ht="50.1" customHeight="1" x14ac:dyDescent="0.25">
      <c r="A197" s="5">
        <f t="shared" si="4"/>
        <v>183</v>
      </c>
      <c r="B197" s="10">
        <f>'CLIENT ENROLLMENT DISCHARGE '!B197</f>
        <v>0</v>
      </c>
      <c r="C197" s="4">
        <f>'CLIENT ENROLLMENT DISCHARGE '!C197</f>
        <v>0</v>
      </c>
      <c r="D197" s="51"/>
      <c r="E197" s="52"/>
      <c r="F197" s="51"/>
      <c r="G197" s="52"/>
      <c r="H197" s="62"/>
      <c r="I197" s="115"/>
      <c r="J197" s="9"/>
      <c r="K197" s="70"/>
      <c r="L197" s="52"/>
      <c r="M197" s="8"/>
      <c r="N197" s="7"/>
      <c r="O197" s="218">
        <f t="shared" si="5"/>
        <v>0</v>
      </c>
      <c r="P197" s="218">
        <f>O197+OCT!P197</f>
        <v>0</v>
      </c>
      <c r="Q197" s="59"/>
      <c r="R197" s="51"/>
      <c r="S197" s="65"/>
      <c r="T197" s="64"/>
      <c r="U197" s="67"/>
      <c r="V197" s="74"/>
      <c r="W197" s="6">
        <f>'CLIENT ENROLLMENT DISCHARGE '!M197</f>
        <v>0</v>
      </c>
      <c r="X197" s="76"/>
      <c r="Y197" s="180"/>
    </row>
    <row r="198" spans="1:25" ht="50.1" customHeight="1" x14ac:dyDescent="0.25">
      <c r="A198" s="5">
        <f t="shared" si="4"/>
        <v>184</v>
      </c>
      <c r="B198" s="10">
        <f>'CLIENT ENROLLMENT DISCHARGE '!B198</f>
        <v>0</v>
      </c>
      <c r="C198" s="4">
        <f>'CLIENT ENROLLMENT DISCHARGE '!C198</f>
        <v>0</v>
      </c>
      <c r="D198" s="52"/>
      <c r="E198" s="53"/>
      <c r="F198" s="52"/>
      <c r="G198" s="53"/>
      <c r="H198" s="63"/>
      <c r="I198" s="116"/>
      <c r="J198" s="3"/>
      <c r="K198" s="71"/>
      <c r="L198" s="53"/>
      <c r="M198" s="2"/>
      <c r="N198" s="1"/>
      <c r="O198" s="218">
        <f t="shared" si="5"/>
        <v>0</v>
      </c>
      <c r="P198" s="218">
        <f>O198+OCT!P198</f>
        <v>0</v>
      </c>
      <c r="Q198" s="60"/>
      <c r="R198" s="52"/>
      <c r="S198" s="66"/>
      <c r="T198" s="65"/>
      <c r="U198" s="68"/>
      <c r="V198" s="59"/>
      <c r="W198" s="6">
        <f>'CLIENT ENROLLMENT DISCHARGE '!M198</f>
        <v>0</v>
      </c>
      <c r="X198" s="76"/>
      <c r="Y198" s="180"/>
    </row>
    <row r="199" spans="1:25" ht="50.1" customHeight="1" x14ac:dyDescent="0.25">
      <c r="A199" s="5">
        <f t="shared" si="4"/>
        <v>185</v>
      </c>
      <c r="B199" s="10">
        <f>'CLIENT ENROLLMENT DISCHARGE '!B199</f>
        <v>0</v>
      </c>
      <c r="C199" s="4">
        <f>'CLIENT ENROLLMENT DISCHARGE '!C199</f>
        <v>0</v>
      </c>
      <c r="D199" s="51"/>
      <c r="E199" s="52"/>
      <c r="F199" s="51"/>
      <c r="G199" s="52"/>
      <c r="H199" s="62"/>
      <c r="I199" s="115"/>
      <c r="J199" s="9"/>
      <c r="K199" s="70"/>
      <c r="L199" s="52"/>
      <c r="M199" s="8"/>
      <c r="N199" s="7"/>
      <c r="O199" s="218">
        <f t="shared" si="5"/>
        <v>0</v>
      </c>
      <c r="P199" s="218">
        <f>O199+OCT!P199</f>
        <v>0</v>
      </c>
      <c r="Q199" s="59"/>
      <c r="R199" s="51"/>
      <c r="S199" s="65"/>
      <c r="T199" s="64"/>
      <c r="U199" s="67"/>
      <c r="V199" s="74"/>
      <c r="W199" s="6">
        <f>'CLIENT ENROLLMENT DISCHARGE '!M199</f>
        <v>0</v>
      </c>
      <c r="X199" s="76"/>
      <c r="Y199" s="180"/>
    </row>
    <row r="200" spans="1:25" ht="50.1" customHeight="1" x14ac:dyDescent="0.25">
      <c r="A200" s="5">
        <f t="shared" si="4"/>
        <v>186</v>
      </c>
      <c r="B200" s="10">
        <f>'CLIENT ENROLLMENT DISCHARGE '!B200</f>
        <v>0</v>
      </c>
      <c r="C200" s="4">
        <f>'CLIENT ENROLLMENT DISCHARGE '!C200</f>
        <v>0</v>
      </c>
      <c r="D200" s="52"/>
      <c r="E200" s="53"/>
      <c r="F200" s="52"/>
      <c r="G200" s="53"/>
      <c r="H200" s="63"/>
      <c r="I200" s="116"/>
      <c r="J200" s="3"/>
      <c r="K200" s="71"/>
      <c r="L200" s="53"/>
      <c r="M200" s="2"/>
      <c r="N200" s="1"/>
      <c r="O200" s="218">
        <f t="shared" si="5"/>
        <v>0</v>
      </c>
      <c r="P200" s="218">
        <f>O200+OCT!P200</f>
        <v>0</v>
      </c>
      <c r="Q200" s="60"/>
      <c r="R200" s="52"/>
      <c r="S200" s="66"/>
      <c r="T200" s="65"/>
      <c r="U200" s="68"/>
      <c r="V200" s="75"/>
      <c r="W200" s="6">
        <f>'CLIENT ENROLLMENT DISCHARGE '!M200</f>
        <v>0</v>
      </c>
      <c r="X200" s="76"/>
      <c r="Y200" s="180"/>
    </row>
    <row r="201" spans="1:25" ht="50.1" customHeight="1" x14ac:dyDescent="0.25">
      <c r="A201" s="5">
        <f t="shared" si="4"/>
        <v>187</v>
      </c>
      <c r="B201" s="10">
        <f>'CLIENT ENROLLMENT DISCHARGE '!B201</f>
        <v>0</v>
      </c>
      <c r="C201" s="4">
        <f>'CLIENT ENROLLMENT DISCHARGE '!C201</f>
        <v>0</v>
      </c>
      <c r="D201" s="51"/>
      <c r="E201" s="52"/>
      <c r="F201" s="51"/>
      <c r="G201" s="52"/>
      <c r="H201" s="62"/>
      <c r="I201" s="115"/>
      <c r="J201" s="9"/>
      <c r="K201" s="70"/>
      <c r="L201" s="52"/>
      <c r="M201" s="8"/>
      <c r="N201" s="7"/>
      <c r="O201" s="218">
        <f t="shared" si="5"/>
        <v>0</v>
      </c>
      <c r="P201" s="218">
        <f>O201+OCT!P201</f>
        <v>0</v>
      </c>
      <c r="Q201" s="59"/>
      <c r="R201" s="51"/>
      <c r="S201" s="65"/>
      <c r="T201" s="64"/>
      <c r="U201" s="67"/>
      <c r="V201" s="74"/>
      <c r="W201" s="6">
        <f>'CLIENT ENROLLMENT DISCHARGE '!M201</f>
        <v>0</v>
      </c>
      <c r="X201" s="76"/>
      <c r="Y201" s="180"/>
    </row>
    <row r="202" spans="1:25" ht="50.1" customHeight="1" x14ac:dyDescent="0.25">
      <c r="A202" s="5">
        <f t="shared" si="4"/>
        <v>188</v>
      </c>
      <c r="B202" s="10">
        <f>'CLIENT ENROLLMENT DISCHARGE '!B202</f>
        <v>0</v>
      </c>
      <c r="C202" s="4">
        <f>'CLIENT ENROLLMENT DISCHARGE '!C202</f>
        <v>0</v>
      </c>
      <c r="D202" s="52"/>
      <c r="E202" s="53"/>
      <c r="F202" s="52"/>
      <c r="G202" s="53"/>
      <c r="H202" s="63"/>
      <c r="I202" s="116"/>
      <c r="J202" s="3"/>
      <c r="K202" s="71"/>
      <c r="L202" s="53"/>
      <c r="M202" s="2"/>
      <c r="N202" s="1"/>
      <c r="O202" s="218">
        <f t="shared" si="5"/>
        <v>0</v>
      </c>
      <c r="P202" s="218">
        <f>O202+OCT!P202</f>
        <v>0</v>
      </c>
      <c r="Q202" s="60"/>
      <c r="R202" s="52"/>
      <c r="S202" s="66"/>
      <c r="T202" s="65"/>
      <c r="U202" s="68"/>
      <c r="V202" s="59"/>
      <c r="W202" s="6">
        <f>'CLIENT ENROLLMENT DISCHARGE '!M202</f>
        <v>0</v>
      </c>
      <c r="X202" s="76"/>
      <c r="Y202" s="180"/>
    </row>
    <row r="203" spans="1:25" ht="50.1" customHeight="1" x14ac:dyDescent="0.25">
      <c r="A203" s="5">
        <f t="shared" si="4"/>
        <v>189</v>
      </c>
      <c r="B203" s="10">
        <f>'CLIENT ENROLLMENT DISCHARGE '!B203</f>
        <v>0</v>
      </c>
      <c r="C203" s="4">
        <f>'CLIENT ENROLLMENT DISCHARGE '!C203</f>
        <v>0</v>
      </c>
      <c r="D203" s="51"/>
      <c r="E203" s="52"/>
      <c r="F203" s="51"/>
      <c r="G203" s="52"/>
      <c r="H203" s="62"/>
      <c r="I203" s="115"/>
      <c r="J203" s="9"/>
      <c r="K203" s="70"/>
      <c r="L203" s="52"/>
      <c r="M203" s="8"/>
      <c r="N203" s="7"/>
      <c r="O203" s="218">
        <f t="shared" si="5"/>
        <v>0</v>
      </c>
      <c r="P203" s="218">
        <f>O203+OCT!P203</f>
        <v>0</v>
      </c>
      <c r="Q203" s="59"/>
      <c r="R203" s="51"/>
      <c r="S203" s="65"/>
      <c r="T203" s="64"/>
      <c r="U203" s="67"/>
      <c r="V203" s="74"/>
      <c r="W203" s="6">
        <f>'CLIENT ENROLLMENT DISCHARGE '!M203</f>
        <v>0</v>
      </c>
      <c r="X203" s="76"/>
      <c r="Y203" s="180"/>
    </row>
    <row r="204" spans="1:25" ht="50.1" customHeight="1" x14ac:dyDescent="0.25">
      <c r="A204" s="5">
        <f t="shared" si="4"/>
        <v>190</v>
      </c>
      <c r="B204" s="10">
        <f>'CLIENT ENROLLMENT DISCHARGE '!B204</f>
        <v>0</v>
      </c>
      <c r="C204" s="4">
        <f>'CLIENT ENROLLMENT DISCHARGE '!C204</f>
        <v>0</v>
      </c>
      <c r="D204" s="52"/>
      <c r="E204" s="53"/>
      <c r="F204" s="52"/>
      <c r="G204" s="53"/>
      <c r="H204" s="63"/>
      <c r="I204" s="116"/>
      <c r="J204" s="3"/>
      <c r="K204" s="71"/>
      <c r="L204" s="53"/>
      <c r="M204" s="2"/>
      <c r="N204" s="1"/>
      <c r="O204" s="218">
        <f t="shared" si="5"/>
        <v>0</v>
      </c>
      <c r="P204" s="218">
        <f>O204+OCT!P204</f>
        <v>0</v>
      </c>
      <c r="Q204" s="60"/>
      <c r="R204" s="52"/>
      <c r="S204" s="66"/>
      <c r="T204" s="65"/>
      <c r="U204" s="68"/>
      <c r="V204" s="59"/>
      <c r="W204" s="6">
        <f>'CLIENT ENROLLMENT DISCHARGE '!M204</f>
        <v>0</v>
      </c>
      <c r="X204" s="76"/>
      <c r="Y204" s="180"/>
    </row>
    <row r="205" spans="1:25" ht="50.1" customHeight="1" x14ac:dyDescent="0.25">
      <c r="A205" s="5">
        <f t="shared" si="4"/>
        <v>191</v>
      </c>
      <c r="B205" s="10">
        <f>'CLIENT ENROLLMENT DISCHARGE '!B205</f>
        <v>0</v>
      </c>
      <c r="C205" s="4">
        <f>'CLIENT ENROLLMENT DISCHARGE '!C205</f>
        <v>0</v>
      </c>
      <c r="D205" s="51"/>
      <c r="E205" s="52"/>
      <c r="F205" s="51"/>
      <c r="G205" s="52"/>
      <c r="H205" s="62"/>
      <c r="I205" s="115"/>
      <c r="J205" s="9"/>
      <c r="K205" s="70"/>
      <c r="L205" s="52"/>
      <c r="M205" s="8"/>
      <c r="N205" s="7"/>
      <c r="O205" s="218">
        <f t="shared" si="5"/>
        <v>0</v>
      </c>
      <c r="P205" s="218">
        <f>O205+OCT!P205</f>
        <v>0</v>
      </c>
      <c r="Q205" s="59"/>
      <c r="R205" s="51"/>
      <c r="S205" s="65"/>
      <c r="T205" s="64"/>
      <c r="U205" s="67"/>
      <c r="V205" s="74"/>
      <c r="W205" s="6">
        <f>'CLIENT ENROLLMENT DISCHARGE '!M205</f>
        <v>0</v>
      </c>
      <c r="X205" s="76"/>
      <c r="Y205" s="180"/>
    </row>
    <row r="206" spans="1:25" ht="50.1" customHeight="1" x14ac:dyDescent="0.25">
      <c r="A206" s="5">
        <f t="shared" si="4"/>
        <v>192</v>
      </c>
      <c r="B206" s="10">
        <f>'CLIENT ENROLLMENT DISCHARGE '!B206</f>
        <v>0</v>
      </c>
      <c r="C206" s="4">
        <f>'CLIENT ENROLLMENT DISCHARGE '!C206</f>
        <v>0</v>
      </c>
      <c r="D206" s="52"/>
      <c r="E206" s="53"/>
      <c r="F206" s="52"/>
      <c r="G206" s="53"/>
      <c r="H206" s="63"/>
      <c r="I206" s="116"/>
      <c r="J206" s="3"/>
      <c r="K206" s="71"/>
      <c r="L206" s="53"/>
      <c r="M206" s="2"/>
      <c r="N206" s="1"/>
      <c r="O206" s="218">
        <f t="shared" si="5"/>
        <v>0</v>
      </c>
      <c r="P206" s="218">
        <f>O206+OCT!P206</f>
        <v>0</v>
      </c>
      <c r="Q206" s="60"/>
      <c r="R206" s="52"/>
      <c r="S206" s="66"/>
      <c r="T206" s="65"/>
      <c r="U206" s="68"/>
      <c r="V206" s="59"/>
      <c r="W206" s="6">
        <f>'CLIENT ENROLLMENT DISCHARGE '!M206</f>
        <v>0</v>
      </c>
      <c r="X206" s="76"/>
      <c r="Y206" s="180"/>
    </row>
    <row r="207" spans="1:25" ht="50.1" customHeight="1" x14ac:dyDescent="0.25">
      <c r="A207" s="5">
        <f t="shared" si="4"/>
        <v>193</v>
      </c>
      <c r="B207" s="10">
        <f>'CLIENT ENROLLMENT DISCHARGE '!B207</f>
        <v>0</v>
      </c>
      <c r="C207" s="4">
        <f>'CLIENT ENROLLMENT DISCHARGE '!C207</f>
        <v>0</v>
      </c>
      <c r="D207" s="51"/>
      <c r="E207" s="52"/>
      <c r="F207" s="51"/>
      <c r="G207" s="52"/>
      <c r="H207" s="62"/>
      <c r="I207" s="115"/>
      <c r="J207" s="9"/>
      <c r="K207" s="70"/>
      <c r="L207" s="52"/>
      <c r="M207" s="8"/>
      <c r="N207" s="7"/>
      <c r="O207" s="218">
        <f t="shared" si="5"/>
        <v>0</v>
      </c>
      <c r="P207" s="218">
        <f>O207+OCT!P207</f>
        <v>0</v>
      </c>
      <c r="Q207" s="59"/>
      <c r="R207" s="51"/>
      <c r="S207" s="65"/>
      <c r="T207" s="64"/>
      <c r="U207" s="67"/>
      <c r="V207" s="74"/>
      <c r="W207" s="6">
        <f>'CLIENT ENROLLMENT DISCHARGE '!M207</f>
        <v>0</v>
      </c>
      <c r="X207" s="76"/>
      <c r="Y207" s="180"/>
    </row>
    <row r="208" spans="1:25" ht="50.1" customHeight="1" x14ac:dyDescent="0.25">
      <c r="A208" s="5">
        <f t="shared" ref="A208:A271" si="6">ROW(A194)</f>
        <v>194</v>
      </c>
      <c r="B208" s="10">
        <f>'CLIENT ENROLLMENT DISCHARGE '!B208</f>
        <v>0</v>
      </c>
      <c r="C208" s="4">
        <f>'CLIENT ENROLLMENT DISCHARGE '!C208</f>
        <v>0</v>
      </c>
      <c r="D208" s="52"/>
      <c r="E208" s="53"/>
      <c r="F208" s="52"/>
      <c r="G208" s="53"/>
      <c r="H208" s="63"/>
      <c r="I208" s="116"/>
      <c r="J208" s="3"/>
      <c r="K208" s="71"/>
      <c r="L208" s="53"/>
      <c r="M208" s="2"/>
      <c r="N208" s="1"/>
      <c r="O208" s="218">
        <f t="shared" ref="O208:O271" si="7">K208*N208</f>
        <v>0</v>
      </c>
      <c r="P208" s="218">
        <f>O208+OCT!P208</f>
        <v>0</v>
      </c>
      <c r="Q208" s="60"/>
      <c r="R208" s="52"/>
      <c r="S208" s="66"/>
      <c r="T208" s="65"/>
      <c r="U208" s="68"/>
      <c r="V208" s="59"/>
      <c r="W208" s="6">
        <f>'CLIENT ENROLLMENT DISCHARGE '!M208</f>
        <v>0</v>
      </c>
      <c r="X208" s="76"/>
      <c r="Y208" s="180"/>
    </row>
    <row r="209" spans="1:25" ht="50.1" customHeight="1" x14ac:dyDescent="0.25">
      <c r="A209" s="5">
        <f t="shared" si="6"/>
        <v>195</v>
      </c>
      <c r="B209" s="10">
        <f>'CLIENT ENROLLMENT DISCHARGE '!B209</f>
        <v>0</v>
      </c>
      <c r="C209" s="4">
        <f>'CLIENT ENROLLMENT DISCHARGE '!C209</f>
        <v>0</v>
      </c>
      <c r="D209" s="51"/>
      <c r="E209" s="52"/>
      <c r="F209" s="51"/>
      <c r="G209" s="52"/>
      <c r="H209" s="62"/>
      <c r="I209" s="115"/>
      <c r="J209" s="9"/>
      <c r="K209" s="70"/>
      <c r="L209" s="52"/>
      <c r="M209" s="8"/>
      <c r="N209" s="7"/>
      <c r="O209" s="218">
        <f t="shared" si="7"/>
        <v>0</v>
      </c>
      <c r="P209" s="218">
        <f>O209+OCT!P209</f>
        <v>0</v>
      </c>
      <c r="Q209" s="59"/>
      <c r="R209" s="51"/>
      <c r="S209" s="65"/>
      <c r="T209" s="64"/>
      <c r="U209" s="67"/>
      <c r="V209" s="74"/>
      <c r="W209" s="6">
        <f>'CLIENT ENROLLMENT DISCHARGE '!M209</f>
        <v>0</v>
      </c>
      <c r="X209" s="76"/>
      <c r="Y209" s="180"/>
    </row>
    <row r="210" spans="1:25" ht="50.1" customHeight="1" x14ac:dyDescent="0.25">
      <c r="A210" s="5">
        <f t="shared" si="6"/>
        <v>196</v>
      </c>
      <c r="B210" s="10">
        <f>'CLIENT ENROLLMENT DISCHARGE '!B210</f>
        <v>0</v>
      </c>
      <c r="C210" s="4">
        <f>'CLIENT ENROLLMENT DISCHARGE '!C210</f>
        <v>0</v>
      </c>
      <c r="D210" s="52"/>
      <c r="E210" s="53"/>
      <c r="F210" s="52"/>
      <c r="G210" s="53"/>
      <c r="H210" s="63"/>
      <c r="I210" s="116"/>
      <c r="J210" s="3"/>
      <c r="K210" s="71"/>
      <c r="L210" s="53"/>
      <c r="M210" s="2"/>
      <c r="N210" s="1"/>
      <c r="O210" s="218">
        <f t="shared" si="7"/>
        <v>0</v>
      </c>
      <c r="P210" s="218">
        <f>O210+OCT!P210</f>
        <v>0</v>
      </c>
      <c r="Q210" s="60"/>
      <c r="R210" s="52"/>
      <c r="S210" s="66"/>
      <c r="T210" s="65"/>
      <c r="U210" s="68"/>
      <c r="V210" s="75"/>
      <c r="W210" s="6">
        <f>'CLIENT ENROLLMENT DISCHARGE '!M210</f>
        <v>0</v>
      </c>
      <c r="X210" s="76"/>
      <c r="Y210" s="180"/>
    </row>
    <row r="211" spans="1:25" ht="50.1" customHeight="1" x14ac:dyDescent="0.25">
      <c r="A211" s="5">
        <f t="shared" si="6"/>
        <v>197</v>
      </c>
      <c r="B211" s="10">
        <f>'CLIENT ENROLLMENT DISCHARGE '!B211</f>
        <v>0</v>
      </c>
      <c r="C211" s="4">
        <f>'CLIENT ENROLLMENT DISCHARGE '!C211</f>
        <v>0</v>
      </c>
      <c r="D211" s="51"/>
      <c r="E211" s="52"/>
      <c r="F211" s="51"/>
      <c r="G211" s="52"/>
      <c r="H211" s="62"/>
      <c r="I211" s="115"/>
      <c r="J211" s="9"/>
      <c r="K211" s="70"/>
      <c r="L211" s="52"/>
      <c r="M211" s="8"/>
      <c r="N211" s="7"/>
      <c r="O211" s="218">
        <f t="shared" si="7"/>
        <v>0</v>
      </c>
      <c r="P211" s="218">
        <f>O211+OCT!P211</f>
        <v>0</v>
      </c>
      <c r="Q211" s="59"/>
      <c r="R211" s="51"/>
      <c r="S211" s="65"/>
      <c r="T211" s="64"/>
      <c r="U211" s="67"/>
      <c r="V211" s="74"/>
      <c r="W211" s="6">
        <f>'CLIENT ENROLLMENT DISCHARGE '!M211</f>
        <v>0</v>
      </c>
      <c r="X211" s="76"/>
      <c r="Y211" s="180"/>
    </row>
    <row r="212" spans="1:25" ht="50.1" customHeight="1" x14ac:dyDescent="0.25">
      <c r="A212" s="5">
        <f t="shared" si="6"/>
        <v>198</v>
      </c>
      <c r="B212" s="10">
        <f>'CLIENT ENROLLMENT DISCHARGE '!B212</f>
        <v>0</v>
      </c>
      <c r="C212" s="4">
        <f>'CLIENT ENROLLMENT DISCHARGE '!C212</f>
        <v>0</v>
      </c>
      <c r="D212" s="52"/>
      <c r="E212" s="53"/>
      <c r="F212" s="52"/>
      <c r="G212" s="53"/>
      <c r="H212" s="63"/>
      <c r="I212" s="116"/>
      <c r="J212" s="3"/>
      <c r="K212" s="71"/>
      <c r="L212" s="53"/>
      <c r="M212" s="2"/>
      <c r="N212" s="1"/>
      <c r="O212" s="218">
        <f t="shared" si="7"/>
        <v>0</v>
      </c>
      <c r="P212" s="218">
        <f>O212+OCT!P212</f>
        <v>0</v>
      </c>
      <c r="Q212" s="60"/>
      <c r="R212" s="52"/>
      <c r="S212" s="66"/>
      <c r="T212" s="65"/>
      <c r="U212" s="68"/>
      <c r="V212" s="59"/>
      <c r="W212" s="6">
        <f>'CLIENT ENROLLMENT DISCHARGE '!M212</f>
        <v>0</v>
      </c>
      <c r="X212" s="76"/>
      <c r="Y212" s="180"/>
    </row>
    <row r="213" spans="1:25" ht="50.1" customHeight="1" x14ac:dyDescent="0.25">
      <c r="A213" s="5">
        <f t="shared" si="6"/>
        <v>199</v>
      </c>
      <c r="B213" s="10">
        <f>'CLIENT ENROLLMENT DISCHARGE '!B213</f>
        <v>0</v>
      </c>
      <c r="C213" s="4">
        <f>'CLIENT ENROLLMENT DISCHARGE '!C213</f>
        <v>0</v>
      </c>
      <c r="D213" s="51"/>
      <c r="E213" s="52"/>
      <c r="F213" s="51"/>
      <c r="G213" s="52"/>
      <c r="H213" s="62"/>
      <c r="I213" s="115"/>
      <c r="J213" s="9"/>
      <c r="K213" s="70"/>
      <c r="L213" s="52"/>
      <c r="M213" s="8"/>
      <c r="N213" s="7"/>
      <c r="O213" s="218">
        <f t="shared" si="7"/>
        <v>0</v>
      </c>
      <c r="P213" s="218">
        <f>O213+OCT!P213</f>
        <v>0</v>
      </c>
      <c r="Q213" s="59"/>
      <c r="R213" s="51"/>
      <c r="S213" s="65"/>
      <c r="T213" s="64"/>
      <c r="U213" s="67"/>
      <c r="V213" s="74"/>
      <c r="W213" s="6">
        <f>'CLIENT ENROLLMENT DISCHARGE '!M213</f>
        <v>0</v>
      </c>
      <c r="X213" s="76"/>
      <c r="Y213" s="180"/>
    </row>
    <row r="214" spans="1:25" ht="50.1" customHeight="1" x14ac:dyDescent="0.25">
      <c r="A214" s="5">
        <f t="shared" si="6"/>
        <v>200</v>
      </c>
      <c r="B214" s="10">
        <f>'CLIENT ENROLLMENT DISCHARGE '!B214</f>
        <v>0</v>
      </c>
      <c r="C214" s="4">
        <f>'CLIENT ENROLLMENT DISCHARGE '!C214</f>
        <v>0</v>
      </c>
      <c r="D214" s="52"/>
      <c r="E214" s="53"/>
      <c r="F214" s="52"/>
      <c r="G214" s="53"/>
      <c r="H214" s="63"/>
      <c r="I214" s="116"/>
      <c r="J214" s="3"/>
      <c r="K214" s="71"/>
      <c r="L214" s="53"/>
      <c r="M214" s="2"/>
      <c r="N214" s="1"/>
      <c r="O214" s="218">
        <f t="shared" si="7"/>
        <v>0</v>
      </c>
      <c r="P214" s="218">
        <f>O214+OCT!P214</f>
        <v>0</v>
      </c>
      <c r="Q214" s="60"/>
      <c r="R214" s="52"/>
      <c r="S214" s="66"/>
      <c r="T214" s="65"/>
      <c r="U214" s="68"/>
      <c r="V214" s="59"/>
      <c r="W214" s="6">
        <f>'CLIENT ENROLLMENT DISCHARGE '!M214</f>
        <v>0</v>
      </c>
      <c r="X214" s="76"/>
      <c r="Y214" s="180"/>
    </row>
    <row r="215" spans="1:25" ht="50.1" customHeight="1" x14ac:dyDescent="0.25">
      <c r="A215" s="5">
        <f t="shared" si="6"/>
        <v>201</v>
      </c>
      <c r="B215" s="10">
        <f>'CLIENT ENROLLMENT DISCHARGE '!B215</f>
        <v>0</v>
      </c>
      <c r="C215" s="4">
        <f>'CLIENT ENROLLMENT DISCHARGE '!C215</f>
        <v>0</v>
      </c>
      <c r="D215" s="51"/>
      <c r="E215" s="52"/>
      <c r="F215" s="51"/>
      <c r="G215" s="52"/>
      <c r="H215" s="62"/>
      <c r="I215" s="115"/>
      <c r="J215" s="9"/>
      <c r="K215" s="70"/>
      <c r="L215" s="52"/>
      <c r="M215" s="8"/>
      <c r="N215" s="7"/>
      <c r="O215" s="218">
        <f t="shared" si="7"/>
        <v>0</v>
      </c>
      <c r="P215" s="218">
        <f>O215+OCT!P215</f>
        <v>0</v>
      </c>
      <c r="Q215" s="59"/>
      <c r="R215" s="51"/>
      <c r="S215" s="65"/>
      <c r="T215" s="64"/>
      <c r="U215" s="67"/>
      <c r="V215" s="74"/>
      <c r="W215" s="6">
        <f>'CLIENT ENROLLMENT DISCHARGE '!M215</f>
        <v>0</v>
      </c>
      <c r="X215" s="76"/>
      <c r="Y215" s="180"/>
    </row>
    <row r="216" spans="1:25" ht="50.1" customHeight="1" x14ac:dyDescent="0.25">
      <c r="A216" s="5">
        <f t="shared" si="6"/>
        <v>202</v>
      </c>
      <c r="B216" s="10">
        <f>'CLIENT ENROLLMENT DISCHARGE '!B216</f>
        <v>0</v>
      </c>
      <c r="C216" s="4">
        <f>'CLIENT ENROLLMENT DISCHARGE '!C216</f>
        <v>0</v>
      </c>
      <c r="D216" s="52"/>
      <c r="E216" s="53"/>
      <c r="F216" s="52"/>
      <c r="G216" s="53"/>
      <c r="H216" s="63"/>
      <c r="I216" s="116"/>
      <c r="J216" s="3"/>
      <c r="K216" s="71"/>
      <c r="L216" s="53"/>
      <c r="M216" s="2"/>
      <c r="N216" s="1"/>
      <c r="O216" s="218">
        <f t="shared" si="7"/>
        <v>0</v>
      </c>
      <c r="P216" s="218">
        <f>O216+OCT!P216</f>
        <v>0</v>
      </c>
      <c r="Q216" s="60"/>
      <c r="R216" s="52"/>
      <c r="S216" s="66"/>
      <c r="T216" s="65"/>
      <c r="U216" s="68"/>
      <c r="V216" s="59"/>
      <c r="W216" s="6">
        <f>'CLIENT ENROLLMENT DISCHARGE '!M216</f>
        <v>0</v>
      </c>
      <c r="X216" s="76"/>
      <c r="Y216" s="180"/>
    </row>
    <row r="217" spans="1:25" ht="50.1" customHeight="1" x14ac:dyDescent="0.25">
      <c r="A217" s="5">
        <f t="shared" si="6"/>
        <v>203</v>
      </c>
      <c r="B217" s="10">
        <f>'CLIENT ENROLLMENT DISCHARGE '!B217</f>
        <v>0</v>
      </c>
      <c r="C217" s="4">
        <f>'CLIENT ENROLLMENT DISCHARGE '!C217</f>
        <v>0</v>
      </c>
      <c r="D217" s="51"/>
      <c r="E217" s="52"/>
      <c r="F217" s="51"/>
      <c r="G217" s="52"/>
      <c r="H217" s="62"/>
      <c r="I217" s="115"/>
      <c r="J217" s="9"/>
      <c r="K217" s="70"/>
      <c r="L217" s="52"/>
      <c r="M217" s="8"/>
      <c r="N217" s="7"/>
      <c r="O217" s="218">
        <f t="shared" si="7"/>
        <v>0</v>
      </c>
      <c r="P217" s="218">
        <f>O217+OCT!P217</f>
        <v>0</v>
      </c>
      <c r="Q217" s="59"/>
      <c r="R217" s="51"/>
      <c r="S217" s="65"/>
      <c r="T217" s="64"/>
      <c r="U217" s="67"/>
      <c r="V217" s="74"/>
      <c r="W217" s="6">
        <f>'CLIENT ENROLLMENT DISCHARGE '!M217</f>
        <v>0</v>
      </c>
      <c r="X217" s="76"/>
      <c r="Y217" s="180"/>
    </row>
    <row r="218" spans="1:25" ht="50.1" customHeight="1" x14ac:dyDescent="0.25">
      <c r="A218" s="5">
        <f t="shared" si="6"/>
        <v>204</v>
      </c>
      <c r="B218" s="10">
        <f>'CLIENT ENROLLMENT DISCHARGE '!B218</f>
        <v>0</v>
      </c>
      <c r="C218" s="4">
        <f>'CLIENT ENROLLMENT DISCHARGE '!C218</f>
        <v>0</v>
      </c>
      <c r="D218" s="52"/>
      <c r="E218" s="53"/>
      <c r="F218" s="52"/>
      <c r="G218" s="53"/>
      <c r="H218" s="63"/>
      <c r="I218" s="116"/>
      <c r="J218" s="3"/>
      <c r="K218" s="71"/>
      <c r="L218" s="53"/>
      <c r="M218" s="2"/>
      <c r="N218" s="1"/>
      <c r="O218" s="218">
        <f t="shared" si="7"/>
        <v>0</v>
      </c>
      <c r="P218" s="218">
        <f>O218+OCT!P218</f>
        <v>0</v>
      </c>
      <c r="Q218" s="60"/>
      <c r="R218" s="52"/>
      <c r="S218" s="66"/>
      <c r="T218" s="65"/>
      <c r="U218" s="68"/>
      <c r="V218" s="59"/>
      <c r="W218" s="6">
        <f>'CLIENT ENROLLMENT DISCHARGE '!M218</f>
        <v>0</v>
      </c>
      <c r="X218" s="76"/>
      <c r="Y218" s="180"/>
    </row>
    <row r="219" spans="1:25" ht="50.1" customHeight="1" x14ac:dyDescent="0.25">
      <c r="A219" s="5">
        <f t="shared" si="6"/>
        <v>205</v>
      </c>
      <c r="B219" s="10">
        <f>'CLIENT ENROLLMENT DISCHARGE '!B219</f>
        <v>0</v>
      </c>
      <c r="C219" s="4">
        <f>'CLIENT ENROLLMENT DISCHARGE '!C219</f>
        <v>0</v>
      </c>
      <c r="D219" s="51"/>
      <c r="E219" s="52"/>
      <c r="F219" s="51"/>
      <c r="G219" s="52"/>
      <c r="H219" s="62"/>
      <c r="I219" s="115"/>
      <c r="J219" s="9"/>
      <c r="K219" s="70"/>
      <c r="L219" s="52"/>
      <c r="M219" s="8"/>
      <c r="N219" s="7"/>
      <c r="O219" s="218">
        <f t="shared" si="7"/>
        <v>0</v>
      </c>
      <c r="P219" s="218">
        <f>O219+OCT!P219</f>
        <v>0</v>
      </c>
      <c r="Q219" s="59"/>
      <c r="R219" s="51"/>
      <c r="S219" s="65"/>
      <c r="T219" s="64"/>
      <c r="U219" s="67"/>
      <c r="V219" s="74"/>
      <c r="W219" s="6">
        <f>'CLIENT ENROLLMENT DISCHARGE '!M219</f>
        <v>0</v>
      </c>
      <c r="X219" s="76"/>
      <c r="Y219" s="180"/>
    </row>
    <row r="220" spans="1:25" ht="50.1" customHeight="1" x14ac:dyDescent="0.25">
      <c r="A220" s="5">
        <f t="shared" si="6"/>
        <v>206</v>
      </c>
      <c r="B220" s="10">
        <f>'CLIENT ENROLLMENT DISCHARGE '!B220</f>
        <v>0</v>
      </c>
      <c r="C220" s="4">
        <f>'CLIENT ENROLLMENT DISCHARGE '!C220</f>
        <v>0</v>
      </c>
      <c r="D220" s="52"/>
      <c r="E220" s="53"/>
      <c r="F220" s="52"/>
      <c r="G220" s="53"/>
      <c r="H220" s="63"/>
      <c r="I220" s="116"/>
      <c r="J220" s="3"/>
      <c r="K220" s="71"/>
      <c r="L220" s="53"/>
      <c r="M220" s="2"/>
      <c r="N220" s="1"/>
      <c r="O220" s="218">
        <f t="shared" si="7"/>
        <v>0</v>
      </c>
      <c r="P220" s="218">
        <f>O220+OCT!P220</f>
        <v>0</v>
      </c>
      <c r="Q220" s="60"/>
      <c r="R220" s="52"/>
      <c r="S220" s="66"/>
      <c r="T220" s="65"/>
      <c r="U220" s="68"/>
      <c r="V220" s="75"/>
      <c r="W220" s="6">
        <f>'CLIENT ENROLLMENT DISCHARGE '!M220</f>
        <v>0</v>
      </c>
      <c r="X220" s="76"/>
      <c r="Y220" s="180"/>
    </row>
    <row r="221" spans="1:25" ht="50.1" customHeight="1" x14ac:dyDescent="0.25">
      <c r="A221" s="5">
        <f t="shared" si="6"/>
        <v>207</v>
      </c>
      <c r="B221" s="10">
        <f>'CLIENT ENROLLMENT DISCHARGE '!B221</f>
        <v>0</v>
      </c>
      <c r="C221" s="4">
        <f>'CLIENT ENROLLMENT DISCHARGE '!C221</f>
        <v>0</v>
      </c>
      <c r="D221" s="51"/>
      <c r="E221" s="52"/>
      <c r="F221" s="51"/>
      <c r="G221" s="52"/>
      <c r="H221" s="62"/>
      <c r="I221" s="115"/>
      <c r="J221" s="9"/>
      <c r="K221" s="70"/>
      <c r="L221" s="52"/>
      <c r="M221" s="8"/>
      <c r="N221" s="7"/>
      <c r="O221" s="218">
        <f t="shared" si="7"/>
        <v>0</v>
      </c>
      <c r="P221" s="218">
        <f>O221+OCT!P221</f>
        <v>0</v>
      </c>
      <c r="Q221" s="59"/>
      <c r="R221" s="51"/>
      <c r="S221" s="65"/>
      <c r="T221" s="64"/>
      <c r="U221" s="67"/>
      <c r="V221" s="74"/>
      <c r="W221" s="6">
        <f>'CLIENT ENROLLMENT DISCHARGE '!M221</f>
        <v>0</v>
      </c>
      <c r="X221" s="76"/>
      <c r="Y221" s="180"/>
    </row>
    <row r="222" spans="1:25" ht="50.1" customHeight="1" x14ac:dyDescent="0.25">
      <c r="A222" s="5">
        <f t="shared" si="6"/>
        <v>208</v>
      </c>
      <c r="B222" s="10">
        <f>'CLIENT ENROLLMENT DISCHARGE '!B222</f>
        <v>0</v>
      </c>
      <c r="C222" s="4">
        <f>'CLIENT ENROLLMENT DISCHARGE '!C222</f>
        <v>0</v>
      </c>
      <c r="D222" s="52"/>
      <c r="E222" s="53"/>
      <c r="F222" s="52"/>
      <c r="G222" s="53"/>
      <c r="H222" s="63"/>
      <c r="I222" s="116"/>
      <c r="J222" s="3"/>
      <c r="K222" s="71"/>
      <c r="L222" s="53"/>
      <c r="M222" s="2"/>
      <c r="N222" s="1"/>
      <c r="O222" s="218">
        <f t="shared" si="7"/>
        <v>0</v>
      </c>
      <c r="P222" s="218">
        <f>O222+OCT!P222</f>
        <v>0</v>
      </c>
      <c r="Q222" s="60"/>
      <c r="R222" s="52"/>
      <c r="S222" s="66"/>
      <c r="T222" s="65"/>
      <c r="U222" s="68"/>
      <c r="V222" s="59"/>
      <c r="W222" s="6">
        <f>'CLIENT ENROLLMENT DISCHARGE '!M222</f>
        <v>0</v>
      </c>
      <c r="X222" s="76"/>
      <c r="Y222" s="180"/>
    </row>
    <row r="223" spans="1:25" ht="50.1" customHeight="1" x14ac:dyDescent="0.25">
      <c r="A223" s="5">
        <f t="shared" si="6"/>
        <v>209</v>
      </c>
      <c r="B223" s="10">
        <f>'CLIENT ENROLLMENT DISCHARGE '!B223</f>
        <v>0</v>
      </c>
      <c r="C223" s="4">
        <f>'CLIENT ENROLLMENT DISCHARGE '!C223</f>
        <v>0</v>
      </c>
      <c r="D223" s="51"/>
      <c r="E223" s="52"/>
      <c r="F223" s="51"/>
      <c r="G223" s="52"/>
      <c r="H223" s="62"/>
      <c r="I223" s="115"/>
      <c r="J223" s="9"/>
      <c r="K223" s="70"/>
      <c r="L223" s="52"/>
      <c r="M223" s="8"/>
      <c r="N223" s="7"/>
      <c r="O223" s="218">
        <f t="shared" si="7"/>
        <v>0</v>
      </c>
      <c r="P223" s="218">
        <f>O223+OCT!P223</f>
        <v>0</v>
      </c>
      <c r="Q223" s="59"/>
      <c r="R223" s="51"/>
      <c r="S223" s="65"/>
      <c r="T223" s="64"/>
      <c r="U223" s="67"/>
      <c r="V223" s="74"/>
      <c r="W223" s="6">
        <f>'CLIENT ENROLLMENT DISCHARGE '!M223</f>
        <v>0</v>
      </c>
      <c r="X223" s="76"/>
      <c r="Y223" s="180"/>
    </row>
    <row r="224" spans="1:25" ht="50.1" customHeight="1" x14ac:dyDescent="0.25">
      <c r="A224" s="5">
        <f t="shared" si="6"/>
        <v>210</v>
      </c>
      <c r="B224" s="10">
        <f>'CLIENT ENROLLMENT DISCHARGE '!B224</f>
        <v>0</v>
      </c>
      <c r="C224" s="4">
        <f>'CLIENT ENROLLMENT DISCHARGE '!C224</f>
        <v>0</v>
      </c>
      <c r="D224" s="52"/>
      <c r="E224" s="53"/>
      <c r="F224" s="52"/>
      <c r="G224" s="53"/>
      <c r="H224" s="63"/>
      <c r="I224" s="116"/>
      <c r="J224" s="3"/>
      <c r="K224" s="71"/>
      <c r="L224" s="53"/>
      <c r="M224" s="2"/>
      <c r="N224" s="1"/>
      <c r="O224" s="218">
        <f t="shared" si="7"/>
        <v>0</v>
      </c>
      <c r="P224" s="218">
        <f>O224+OCT!P224</f>
        <v>0</v>
      </c>
      <c r="Q224" s="60"/>
      <c r="R224" s="52"/>
      <c r="S224" s="66"/>
      <c r="T224" s="65"/>
      <c r="U224" s="68"/>
      <c r="V224" s="59"/>
      <c r="W224" s="6">
        <f>'CLIENT ENROLLMENT DISCHARGE '!M224</f>
        <v>0</v>
      </c>
      <c r="X224" s="76"/>
      <c r="Y224" s="180"/>
    </row>
    <row r="225" spans="1:25" ht="50.1" customHeight="1" x14ac:dyDescent="0.25">
      <c r="A225" s="5">
        <f t="shared" si="6"/>
        <v>211</v>
      </c>
      <c r="B225" s="10">
        <f>'CLIENT ENROLLMENT DISCHARGE '!B225</f>
        <v>0</v>
      </c>
      <c r="C225" s="4">
        <f>'CLIENT ENROLLMENT DISCHARGE '!C225</f>
        <v>0</v>
      </c>
      <c r="D225" s="51"/>
      <c r="E225" s="52"/>
      <c r="F225" s="51"/>
      <c r="G225" s="52"/>
      <c r="H225" s="62"/>
      <c r="I225" s="115"/>
      <c r="J225" s="9"/>
      <c r="K225" s="70"/>
      <c r="L225" s="52"/>
      <c r="M225" s="8"/>
      <c r="N225" s="7"/>
      <c r="O225" s="218">
        <f t="shared" si="7"/>
        <v>0</v>
      </c>
      <c r="P225" s="218">
        <f>O225+OCT!P225</f>
        <v>0</v>
      </c>
      <c r="Q225" s="59"/>
      <c r="R225" s="51"/>
      <c r="S225" s="65"/>
      <c r="T225" s="64"/>
      <c r="U225" s="67"/>
      <c r="V225" s="74"/>
      <c r="W225" s="6">
        <f>'CLIENT ENROLLMENT DISCHARGE '!M225</f>
        <v>0</v>
      </c>
      <c r="X225" s="76"/>
      <c r="Y225" s="180"/>
    </row>
    <row r="226" spans="1:25" ht="50.1" customHeight="1" x14ac:dyDescent="0.25">
      <c r="A226" s="5">
        <f t="shared" si="6"/>
        <v>212</v>
      </c>
      <c r="B226" s="10">
        <f>'CLIENT ENROLLMENT DISCHARGE '!B226</f>
        <v>0</v>
      </c>
      <c r="C226" s="4">
        <f>'CLIENT ENROLLMENT DISCHARGE '!C226</f>
        <v>0</v>
      </c>
      <c r="D226" s="52"/>
      <c r="E226" s="53"/>
      <c r="F226" s="52"/>
      <c r="G226" s="53"/>
      <c r="H226" s="63"/>
      <c r="I226" s="116"/>
      <c r="J226" s="3"/>
      <c r="K226" s="71"/>
      <c r="L226" s="53"/>
      <c r="M226" s="2"/>
      <c r="N226" s="1"/>
      <c r="O226" s="218">
        <f t="shared" si="7"/>
        <v>0</v>
      </c>
      <c r="P226" s="218">
        <f>O226+OCT!P226</f>
        <v>0</v>
      </c>
      <c r="Q226" s="60"/>
      <c r="R226" s="52"/>
      <c r="S226" s="66"/>
      <c r="T226" s="65"/>
      <c r="U226" s="68"/>
      <c r="V226" s="59"/>
      <c r="W226" s="6">
        <f>'CLIENT ENROLLMENT DISCHARGE '!M226</f>
        <v>0</v>
      </c>
      <c r="X226" s="76"/>
      <c r="Y226" s="180"/>
    </row>
    <row r="227" spans="1:25" ht="50.1" customHeight="1" x14ac:dyDescent="0.25">
      <c r="A227" s="5">
        <f t="shared" si="6"/>
        <v>213</v>
      </c>
      <c r="B227" s="10">
        <f>'CLIENT ENROLLMENT DISCHARGE '!B227</f>
        <v>0</v>
      </c>
      <c r="C227" s="4">
        <f>'CLIENT ENROLLMENT DISCHARGE '!C227</f>
        <v>0</v>
      </c>
      <c r="D227" s="51"/>
      <c r="E227" s="52"/>
      <c r="F227" s="51"/>
      <c r="G227" s="52"/>
      <c r="H227" s="62"/>
      <c r="I227" s="115"/>
      <c r="J227" s="9"/>
      <c r="K227" s="70"/>
      <c r="L227" s="52"/>
      <c r="M227" s="8"/>
      <c r="N227" s="7"/>
      <c r="O227" s="218">
        <f t="shared" si="7"/>
        <v>0</v>
      </c>
      <c r="P227" s="218">
        <f>O227+OCT!P227</f>
        <v>0</v>
      </c>
      <c r="Q227" s="59"/>
      <c r="R227" s="51"/>
      <c r="S227" s="65"/>
      <c r="T227" s="64"/>
      <c r="U227" s="67"/>
      <c r="V227" s="74"/>
      <c r="W227" s="6">
        <f>'CLIENT ENROLLMENT DISCHARGE '!M227</f>
        <v>0</v>
      </c>
      <c r="X227" s="76"/>
      <c r="Y227" s="180"/>
    </row>
    <row r="228" spans="1:25" ht="50.1" customHeight="1" x14ac:dyDescent="0.25">
      <c r="A228" s="5">
        <f t="shared" si="6"/>
        <v>214</v>
      </c>
      <c r="B228" s="10">
        <f>'CLIENT ENROLLMENT DISCHARGE '!B228</f>
        <v>0</v>
      </c>
      <c r="C228" s="4">
        <f>'CLIENT ENROLLMENT DISCHARGE '!C228</f>
        <v>0</v>
      </c>
      <c r="D228" s="52"/>
      <c r="E228" s="53"/>
      <c r="F228" s="52"/>
      <c r="G228" s="53"/>
      <c r="H228" s="63"/>
      <c r="I228" s="116"/>
      <c r="J228" s="3"/>
      <c r="K228" s="71"/>
      <c r="L228" s="53"/>
      <c r="M228" s="2"/>
      <c r="N228" s="1"/>
      <c r="O228" s="218">
        <f t="shared" si="7"/>
        <v>0</v>
      </c>
      <c r="P228" s="218">
        <f>O228+OCT!P228</f>
        <v>0</v>
      </c>
      <c r="Q228" s="60"/>
      <c r="R228" s="52"/>
      <c r="S228" s="66"/>
      <c r="T228" s="65"/>
      <c r="U228" s="68"/>
      <c r="V228" s="59"/>
      <c r="W228" s="6">
        <f>'CLIENT ENROLLMENT DISCHARGE '!M228</f>
        <v>0</v>
      </c>
      <c r="X228" s="76"/>
      <c r="Y228" s="180"/>
    </row>
    <row r="229" spans="1:25" ht="50.1" customHeight="1" x14ac:dyDescent="0.25">
      <c r="A229" s="5">
        <f t="shared" si="6"/>
        <v>215</v>
      </c>
      <c r="B229" s="10">
        <f>'CLIENT ENROLLMENT DISCHARGE '!B229</f>
        <v>0</v>
      </c>
      <c r="C229" s="4">
        <f>'CLIENT ENROLLMENT DISCHARGE '!C229</f>
        <v>0</v>
      </c>
      <c r="D229" s="51"/>
      <c r="E229" s="52"/>
      <c r="F229" s="51"/>
      <c r="G229" s="52"/>
      <c r="H229" s="62"/>
      <c r="I229" s="115"/>
      <c r="J229" s="9"/>
      <c r="K229" s="70"/>
      <c r="L229" s="52"/>
      <c r="M229" s="8"/>
      <c r="N229" s="7"/>
      <c r="O229" s="218">
        <f t="shared" si="7"/>
        <v>0</v>
      </c>
      <c r="P229" s="218">
        <f>O229+OCT!P229</f>
        <v>0</v>
      </c>
      <c r="Q229" s="59"/>
      <c r="R229" s="51"/>
      <c r="S229" s="65"/>
      <c r="T229" s="64"/>
      <c r="U229" s="67"/>
      <c r="V229" s="74"/>
      <c r="W229" s="6">
        <f>'CLIENT ENROLLMENT DISCHARGE '!M229</f>
        <v>0</v>
      </c>
      <c r="X229" s="76"/>
      <c r="Y229" s="180"/>
    </row>
    <row r="230" spans="1:25" ht="50.1" customHeight="1" x14ac:dyDescent="0.25">
      <c r="A230" s="5">
        <f t="shared" si="6"/>
        <v>216</v>
      </c>
      <c r="B230" s="10">
        <f>'CLIENT ENROLLMENT DISCHARGE '!B230</f>
        <v>0</v>
      </c>
      <c r="C230" s="4">
        <f>'CLIENT ENROLLMENT DISCHARGE '!C230</f>
        <v>0</v>
      </c>
      <c r="D230" s="52"/>
      <c r="E230" s="53"/>
      <c r="F230" s="52"/>
      <c r="G230" s="53"/>
      <c r="H230" s="63"/>
      <c r="I230" s="116"/>
      <c r="J230" s="3"/>
      <c r="K230" s="71"/>
      <c r="L230" s="53"/>
      <c r="M230" s="2"/>
      <c r="N230" s="1"/>
      <c r="O230" s="218">
        <f t="shared" si="7"/>
        <v>0</v>
      </c>
      <c r="P230" s="218">
        <f>O230+OCT!P230</f>
        <v>0</v>
      </c>
      <c r="Q230" s="60"/>
      <c r="R230" s="52"/>
      <c r="S230" s="66"/>
      <c r="T230" s="65"/>
      <c r="U230" s="68"/>
      <c r="V230" s="75"/>
      <c r="W230" s="6">
        <f>'CLIENT ENROLLMENT DISCHARGE '!M230</f>
        <v>0</v>
      </c>
      <c r="X230" s="76"/>
      <c r="Y230" s="180"/>
    </row>
    <row r="231" spans="1:25" ht="50.1" customHeight="1" x14ac:dyDescent="0.25">
      <c r="A231" s="5">
        <f t="shared" si="6"/>
        <v>217</v>
      </c>
      <c r="B231" s="10">
        <f>'CLIENT ENROLLMENT DISCHARGE '!B231</f>
        <v>0</v>
      </c>
      <c r="C231" s="4">
        <f>'CLIENT ENROLLMENT DISCHARGE '!C231</f>
        <v>0</v>
      </c>
      <c r="D231" s="51"/>
      <c r="E231" s="52"/>
      <c r="F231" s="51"/>
      <c r="G231" s="52"/>
      <c r="H231" s="62"/>
      <c r="I231" s="115"/>
      <c r="J231" s="9"/>
      <c r="K231" s="70"/>
      <c r="L231" s="52"/>
      <c r="M231" s="8"/>
      <c r="N231" s="7"/>
      <c r="O231" s="218">
        <f t="shared" si="7"/>
        <v>0</v>
      </c>
      <c r="P231" s="218">
        <f>O231+OCT!P231</f>
        <v>0</v>
      </c>
      <c r="Q231" s="59"/>
      <c r="R231" s="51"/>
      <c r="S231" s="65"/>
      <c r="T231" s="64"/>
      <c r="U231" s="67"/>
      <c r="V231" s="74"/>
      <c r="W231" s="6">
        <f>'CLIENT ENROLLMENT DISCHARGE '!M231</f>
        <v>0</v>
      </c>
      <c r="X231" s="76"/>
      <c r="Y231" s="180"/>
    </row>
    <row r="232" spans="1:25" ht="50.1" customHeight="1" x14ac:dyDescent="0.25">
      <c r="A232" s="5">
        <f t="shared" si="6"/>
        <v>218</v>
      </c>
      <c r="B232" s="10">
        <f>'CLIENT ENROLLMENT DISCHARGE '!B232</f>
        <v>0</v>
      </c>
      <c r="C232" s="4">
        <f>'CLIENT ENROLLMENT DISCHARGE '!C232</f>
        <v>0</v>
      </c>
      <c r="D232" s="52"/>
      <c r="E232" s="53"/>
      <c r="F232" s="52"/>
      <c r="G232" s="53"/>
      <c r="H232" s="63"/>
      <c r="I232" s="116"/>
      <c r="J232" s="3"/>
      <c r="K232" s="71"/>
      <c r="L232" s="53"/>
      <c r="M232" s="2"/>
      <c r="N232" s="1"/>
      <c r="O232" s="218">
        <f t="shared" si="7"/>
        <v>0</v>
      </c>
      <c r="P232" s="218">
        <f>O232+OCT!P232</f>
        <v>0</v>
      </c>
      <c r="Q232" s="60"/>
      <c r="R232" s="52"/>
      <c r="S232" s="66"/>
      <c r="T232" s="65"/>
      <c r="U232" s="68"/>
      <c r="V232" s="59"/>
      <c r="W232" s="6">
        <f>'CLIENT ENROLLMENT DISCHARGE '!M232</f>
        <v>0</v>
      </c>
      <c r="X232" s="76"/>
      <c r="Y232" s="180"/>
    </row>
    <row r="233" spans="1:25" ht="50.1" customHeight="1" x14ac:dyDescent="0.25">
      <c r="A233" s="5">
        <f t="shared" si="6"/>
        <v>219</v>
      </c>
      <c r="B233" s="10">
        <f>'CLIENT ENROLLMENT DISCHARGE '!B233</f>
        <v>0</v>
      </c>
      <c r="C233" s="4">
        <f>'CLIENT ENROLLMENT DISCHARGE '!C233</f>
        <v>0</v>
      </c>
      <c r="D233" s="51"/>
      <c r="E233" s="52"/>
      <c r="F233" s="51"/>
      <c r="G233" s="52"/>
      <c r="H233" s="62"/>
      <c r="I233" s="115"/>
      <c r="J233" s="9"/>
      <c r="K233" s="70"/>
      <c r="L233" s="52"/>
      <c r="M233" s="8"/>
      <c r="N233" s="7"/>
      <c r="O233" s="218">
        <f t="shared" si="7"/>
        <v>0</v>
      </c>
      <c r="P233" s="218">
        <f>O233+OCT!P233</f>
        <v>0</v>
      </c>
      <c r="Q233" s="59"/>
      <c r="R233" s="51"/>
      <c r="S233" s="65"/>
      <c r="T233" s="64"/>
      <c r="U233" s="67"/>
      <c r="V233" s="74"/>
      <c r="W233" s="6">
        <f>'CLIENT ENROLLMENT DISCHARGE '!M233</f>
        <v>0</v>
      </c>
      <c r="X233" s="76"/>
      <c r="Y233" s="180"/>
    </row>
    <row r="234" spans="1:25" ht="50.1" customHeight="1" x14ac:dyDescent="0.25">
      <c r="A234" s="5">
        <f t="shared" si="6"/>
        <v>220</v>
      </c>
      <c r="B234" s="10">
        <f>'CLIENT ENROLLMENT DISCHARGE '!B234</f>
        <v>0</v>
      </c>
      <c r="C234" s="4">
        <f>'CLIENT ENROLLMENT DISCHARGE '!C234</f>
        <v>0</v>
      </c>
      <c r="D234" s="52"/>
      <c r="E234" s="53"/>
      <c r="F234" s="52"/>
      <c r="G234" s="53"/>
      <c r="H234" s="63"/>
      <c r="I234" s="116"/>
      <c r="J234" s="3"/>
      <c r="K234" s="71"/>
      <c r="L234" s="53"/>
      <c r="M234" s="2"/>
      <c r="N234" s="1"/>
      <c r="O234" s="218">
        <f t="shared" si="7"/>
        <v>0</v>
      </c>
      <c r="P234" s="218">
        <f>O234+OCT!P234</f>
        <v>0</v>
      </c>
      <c r="Q234" s="60"/>
      <c r="R234" s="52"/>
      <c r="S234" s="66"/>
      <c r="T234" s="65"/>
      <c r="U234" s="68"/>
      <c r="V234" s="59"/>
      <c r="W234" s="6">
        <f>'CLIENT ENROLLMENT DISCHARGE '!M234</f>
        <v>0</v>
      </c>
      <c r="X234" s="76"/>
      <c r="Y234" s="180"/>
    </row>
    <row r="235" spans="1:25" ht="50.1" customHeight="1" x14ac:dyDescent="0.25">
      <c r="A235" s="5">
        <f t="shared" si="6"/>
        <v>221</v>
      </c>
      <c r="B235" s="10">
        <f>'CLIENT ENROLLMENT DISCHARGE '!B235</f>
        <v>0</v>
      </c>
      <c r="C235" s="4">
        <f>'CLIENT ENROLLMENT DISCHARGE '!C235</f>
        <v>0</v>
      </c>
      <c r="D235" s="51"/>
      <c r="E235" s="52"/>
      <c r="F235" s="51"/>
      <c r="G235" s="52"/>
      <c r="H235" s="62"/>
      <c r="I235" s="115"/>
      <c r="J235" s="9"/>
      <c r="K235" s="70"/>
      <c r="L235" s="52"/>
      <c r="M235" s="8"/>
      <c r="N235" s="7"/>
      <c r="O235" s="218">
        <f t="shared" si="7"/>
        <v>0</v>
      </c>
      <c r="P235" s="218">
        <f>O235+OCT!P235</f>
        <v>0</v>
      </c>
      <c r="Q235" s="59"/>
      <c r="R235" s="51"/>
      <c r="S235" s="65"/>
      <c r="T235" s="64"/>
      <c r="U235" s="67"/>
      <c r="V235" s="74"/>
      <c r="W235" s="6">
        <f>'CLIENT ENROLLMENT DISCHARGE '!M235</f>
        <v>0</v>
      </c>
      <c r="X235" s="76"/>
      <c r="Y235" s="180"/>
    </row>
    <row r="236" spans="1:25" ht="50.1" customHeight="1" x14ac:dyDescent="0.25">
      <c r="A236" s="5">
        <f t="shared" si="6"/>
        <v>222</v>
      </c>
      <c r="B236" s="10">
        <f>'CLIENT ENROLLMENT DISCHARGE '!B236</f>
        <v>0</v>
      </c>
      <c r="C236" s="4">
        <f>'CLIENT ENROLLMENT DISCHARGE '!C236</f>
        <v>0</v>
      </c>
      <c r="D236" s="52"/>
      <c r="E236" s="53"/>
      <c r="F236" s="52"/>
      <c r="G236" s="53"/>
      <c r="H236" s="63"/>
      <c r="I236" s="116"/>
      <c r="J236" s="3"/>
      <c r="K236" s="71"/>
      <c r="L236" s="53"/>
      <c r="M236" s="2"/>
      <c r="N236" s="1"/>
      <c r="O236" s="218">
        <f t="shared" si="7"/>
        <v>0</v>
      </c>
      <c r="P236" s="218">
        <f>O236+OCT!P236</f>
        <v>0</v>
      </c>
      <c r="Q236" s="60"/>
      <c r="R236" s="52"/>
      <c r="S236" s="66"/>
      <c r="T236" s="65"/>
      <c r="U236" s="68"/>
      <c r="V236" s="59"/>
      <c r="W236" s="6">
        <f>'CLIENT ENROLLMENT DISCHARGE '!M236</f>
        <v>0</v>
      </c>
      <c r="X236" s="76"/>
      <c r="Y236" s="180"/>
    </row>
    <row r="237" spans="1:25" ht="50.1" customHeight="1" x14ac:dyDescent="0.25">
      <c r="A237" s="5">
        <f t="shared" si="6"/>
        <v>223</v>
      </c>
      <c r="B237" s="10">
        <f>'CLIENT ENROLLMENT DISCHARGE '!B237</f>
        <v>0</v>
      </c>
      <c r="C237" s="4">
        <f>'CLIENT ENROLLMENT DISCHARGE '!C237</f>
        <v>0</v>
      </c>
      <c r="D237" s="51"/>
      <c r="E237" s="52"/>
      <c r="F237" s="51"/>
      <c r="G237" s="52"/>
      <c r="H237" s="62"/>
      <c r="I237" s="115"/>
      <c r="J237" s="9"/>
      <c r="K237" s="70"/>
      <c r="L237" s="52"/>
      <c r="M237" s="8"/>
      <c r="N237" s="7"/>
      <c r="O237" s="218">
        <f t="shared" si="7"/>
        <v>0</v>
      </c>
      <c r="P237" s="218">
        <f>O237+OCT!P237</f>
        <v>0</v>
      </c>
      <c r="Q237" s="59"/>
      <c r="R237" s="51"/>
      <c r="S237" s="65"/>
      <c r="T237" s="64"/>
      <c r="U237" s="67"/>
      <c r="V237" s="74"/>
      <c r="W237" s="6">
        <f>'CLIENT ENROLLMENT DISCHARGE '!M237</f>
        <v>0</v>
      </c>
      <c r="X237" s="76"/>
      <c r="Y237" s="180"/>
    </row>
    <row r="238" spans="1:25" ht="50.1" customHeight="1" x14ac:dyDescent="0.25">
      <c r="A238" s="5">
        <f t="shared" si="6"/>
        <v>224</v>
      </c>
      <c r="B238" s="10">
        <f>'CLIENT ENROLLMENT DISCHARGE '!B238</f>
        <v>0</v>
      </c>
      <c r="C238" s="4">
        <f>'CLIENT ENROLLMENT DISCHARGE '!C238</f>
        <v>0</v>
      </c>
      <c r="D238" s="52"/>
      <c r="E238" s="53"/>
      <c r="F238" s="52"/>
      <c r="G238" s="53"/>
      <c r="H238" s="63"/>
      <c r="I238" s="116"/>
      <c r="J238" s="3"/>
      <c r="K238" s="71"/>
      <c r="L238" s="53"/>
      <c r="M238" s="2"/>
      <c r="N238" s="1"/>
      <c r="O238" s="218">
        <f t="shared" si="7"/>
        <v>0</v>
      </c>
      <c r="P238" s="218">
        <f>O238+OCT!P238</f>
        <v>0</v>
      </c>
      <c r="Q238" s="60"/>
      <c r="R238" s="52"/>
      <c r="S238" s="66"/>
      <c r="T238" s="65"/>
      <c r="U238" s="68"/>
      <c r="V238" s="59"/>
      <c r="W238" s="6">
        <f>'CLIENT ENROLLMENT DISCHARGE '!M238</f>
        <v>0</v>
      </c>
      <c r="X238" s="76"/>
      <c r="Y238" s="180"/>
    </row>
    <row r="239" spans="1:25" ht="50.1" customHeight="1" x14ac:dyDescent="0.25">
      <c r="A239" s="5">
        <f t="shared" si="6"/>
        <v>225</v>
      </c>
      <c r="B239" s="10">
        <f>'CLIENT ENROLLMENT DISCHARGE '!B239</f>
        <v>0</v>
      </c>
      <c r="C239" s="4">
        <f>'CLIENT ENROLLMENT DISCHARGE '!C239</f>
        <v>0</v>
      </c>
      <c r="D239" s="51"/>
      <c r="E239" s="52"/>
      <c r="F239" s="51"/>
      <c r="G239" s="52"/>
      <c r="H239" s="62"/>
      <c r="I239" s="115"/>
      <c r="J239" s="9"/>
      <c r="K239" s="70"/>
      <c r="L239" s="52"/>
      <c r="M239" s="8"/>
      <c r="N239" s="7"/>
      <c r="O239" s="218">
        <f t="shared" si="7"/>
        <v>0</v>
      </c>
      <c r="P239" s="218">
        <f>O239+OCT!P239</f>
        <v>0</v>
      </c>
      <c r="Q239" s="59"/>
      <c r="R239" s="51"/>
      <c r="S239" s="65"/>
      <c r="T239" s="64"/>
      <c r="U239" s="67"/>
      <c r="V239" s="74"/>
      <c r="W239" s="6">
        <f>'CLIENT ENROLLMENT DISCHARGE '!M239</f>
        <v>0</v>
      </c>
      <c r="X239" s="76"/>
      <c r="Y239" s="180"/>
    </row>
    <row r="240" spans="1:25" ht="50.1" customHeight="1" x14ac:dyDescent="0.25">
      <c r="A240" s="5">
        <f t="shared" si="6"/>
        <v>226</v>
      </c>
      <c r="B240" s="10">
        <f>'CLIENT ENROLLMENT DISCHARGE '!B240</f>
        <v>0</v>
      </c>
      <c r="C240" s="4">
        <f>'CLIENT ENROLLMENT DISCHARGE '!C240</f>
        <v>0</v>
      </c>
      <c r="D240" s="52"/>
      <c r="E240" s="53"/>
      <c r="F240" s="52"/>
      <c r="G240" s="53"/>
      <c r="H240" s="63"/>
      <c r="I240" s="116"/>
      <c r="J240" s="3"/>
      <c r="K240" s="71"/>
      <c r="L240" s="53"/>
      <c r="M240" s="2"/>
      <c r="N240" s="1"/>
      <c r="O240" s="218">
        <f t="shared" si="7"/>
        <v>0</v>
      </c>
      <c r="P240" s="218">
        <f>O240+OCT!P240</f>
        <v>0</v>
      </c>
      <c r="Q240" s="60"/>
      <c r="R240" s="52"/>
      <c r="S240" s="66"/>
      <c r="T240" s="65"/>
      <c r="U240" s="68"/>
      <c r="V240" s="75"/>
      <c r="W240" s="6">
        <f>'CLIENT ENROLLMENT DISCHARGE '!M240</f>
        <v>0</v>
      </c>
      <c r="X240" s="76"/>
      <c r="Y240" s="180"/>
    </row>
    <row r="241" spans="1:25" ht="50.1" customHeight="1" x14ac:dyDescent="0.25">
      <c r="A241" s="5">
        <f t="shared" si="6"/>
        <v>227</v>
      </c>
      <c r="B241" s="10">
        <f>'CLIENT ENROLLMENT DISCHARGE '!B241</f>
        <v>0</v>
      </c>
      <c r="C241" s="4">
        <f>'CLIENT ENROLLMENT DISCHARGE '!C241</f>
        <v>0</v>
      </c>
      <c r="D241" s="51"/>
      <c r="E241" s="52"/>
      <c r="F241" s="51"/>
      <c r="G241" s="52"/>
      <c r="H241" s="62"/>
      <c r="I241" s="115"/>
      <c r="J241" s="9"/>
      <c r="K241" s="70"/>
      <c r="L241" s="52"/>
      <c r="M241" s="8"/>
      <c r="N241" s="7"/>
      <c r="O241" s="218">
        <f t="shared" si="7"/>
        <v>0</v>
      </c>
      <c r="P241" s="218">
        <f>O241+OCT!P241</f>
        <v>0</v>
      </c>
      <c r="Q241" s="59"/>
      <c r="R241" s="51"/>
      <c r="S241" s="65"/>
      <c r="T241" s="64"/>
      <c r="U241" s="67"/>
      <c r="V241" s="74"/>
      <c r="W241" s="6">
        <f>'CLIENT ENROLLMENT DISCHARGE '!M241</f>
        <v>0</v>
      </c>
      <c r="X241" s="76"/>
      <c r="Y241" s="180"/>
    </row>
    <row r="242" spans="1:25" ht="50.1" customHeight="1" x14ac:dyDescent="0.25">
      <c r="A242" s="5">
        <f t="shared" si="6"/>
        <v>228</v>
      </c>
      <c r="B242" s="10">
        <f>'CLIENT ENROLLMENT DISCHARGE '!B242</f>
        <v>0</v>
      </c>
      <c r="C242" s="4">
        <f>'CLIENT ENROLLMENT DISCHARGE '!C242</f>
        <v>0</v>
      </c>
      <c r="D242" s="52"/>
      <c r="E242" s="53"/>
      <c r="F242" s="52"/>
      <c r="G242" s="53"/>
      <c r="H242" s="63"/>
      <c r="I242" s="116"/>
      <c r="J242" s="3"/>
      <c r="K242" s="71"/>
      <c r="L242" s="53"/>
      <c r="M242" s="2"/>
      <c r="N242" s="1"/>
      <c r="O242" s="218">
        <f t="shared" si="7"/>
        <v>0</v>
      </c>
      <c r="P242" s="218">
        <f>O242+OCT!P242</f>
        <v>0</v>
      </c>
      <c r="Q242" s="60"/>
      <c r="R242" s="52"/>
      <c r="S242" s="66"/>
      <c r="T242" s="65"/>
      <c r="U242" s="68"/>
      <c r="V242" s="59"/>
      <c r="W242" s="6">
        <f>'CLIENT ENROLLMENT DISCHARGE '!M242</f>
        <v>0</v>
      </c>
      <c r="X242" s="76"/>
      <c r="Y242" s="180"/>
    </row>
    <row r="243" spans="1:25" ht="50.1" customHeight="1" x14ac:dyDescent="0.25">
      <c r="A243" s="5">
        <f t="shared" si="6"/>
        <v>229</v>
      </c>
      <c r="B243" s="10">
        <f>'CLIENT ENROLLMENT DISCHARGE '!B243</f>
        <v>0</v>
      </c>
      <c r="C243" s="4">
        <f>'CLIENT ENROLLMENT DISCHARGE '!C243</f>
        <v>0</v>
      </c>
      <c r="D243" s="51"/>
      <c r="E243" s="52"/>
      <c r="F243" s="51"/>
      <c r="G243" s="52"/>
      <c r="H243" s="62"/>
      <c r="I243" s="115"/>
      <c r="J243" s="9"/>
      <c r="K243" s="70"/>
      <c r="L243" s="52"/>
      <c r="M243" s="8"/>
      <c r="N243" s="7"/>
      <c r="O243" s="218">
        <f t="shared" si="7"/>
        <v>0</v>
      </c>
      <c r="P243" s="218">
        <f>O243+OCT!P243</f>
        <v>0</v>
      </c>
      <c r="Q243" s="59"/>
      <c r="R243" s="51"/>
      <c r="S243" s="65"/>
      <c r="T243" s="64"/>
      <c r="U243" s="67"/>
      <c r="V243" s="74"/>
      <c r="W243" s="6">
        <f>'CLIENT ENROLLMENT DISCHARGE '!M243</f>
        <v>0</v>
      </c>
      <c r="X243" s="76"/>
      <c r="Y243" s="180"/>
    </row>
    <row r="244" spans="1:25" ht="50.1" customHeight="1" x14ac:dyDescent="0.25">
      <c r="A244" s="5">
        <f t="shared" si="6"/>
        <v>230</v>
      </c>
      <c r="B244" s="10">
        <f>'CLIENT ENROLLMENT DISCHARGE '!B244</f>
        <v>0</v>
      </c>
      <c r="C244" s="4">
        <f>'CLIENT ENROLLMENT DISCHARGE '!C244</f>
        <v>0</v>
      </c>
      <c r="D244" s="52"/>
      <c r="E244" s="53"/>
      <c r="F244" s="52"/>
      <c r="G244" s="53"/>
      <c r="H244" s="63"/>
      <c r="I244" s="116"/>
      <c r="J244" s="3"/>
      <c r="K244" s="71"/>
      <c r="L244" s="53"/>
      <c r="M244" s="2"/>
      <c r="N244" s="1"/>
      <c r="O244" s="218">
        <f t="shared" si="7"/>
        <v>0</v>
      </c>
      <c r="P244" s="218">
        <f>O244+OCT!P244</f>
        <v>0</v>
      </c>
      <c r="Q244" s="60"/>
      <c r="R244" s="52"/>
      <c r="S244" s="66"/>
      <c r="T244" s="65"/>
      <c r="U244" s="68"/>
      <c r="V244" s="59"/>
      <c r="W244" s="6">
        <f>'CLIENT ENROLLMENT DISCHARGE '!M244</f>
        <v>0</v>
      </c>
      <c r="X244" s="76"/>
      <c r="Y244" s="180"/>
    </row>
    <row r="245" spans="1:25" ht="50.1" customHeight="1" x14ac:dyDescent="0.25">
      <c r="A245" s="5">
        <f t="shared" si="6"/>
        <v>231</v>
      </c>
      <c r="B245" s="10">
        <f>'CLIENT ENROLLMENT DISCHARGE '!B245</f>
        <v>0</v>
      </c>
      <c r="C245" s="4">
        <f>'CLIENT ENROLLMENT DISCHARGE '!C245</f>
        <v>0</v>
      </c>
      <c r="D245" s="51"/>
      <c r="E245" s="52"/>
      <c r="F245" s="51"/>
      <c r="G245" s="52"/>
      <c r="H245" s="62"/>
      <c r="I245" s="115"/>
      <c r="J245" s="9"/>
      <c r="K245" s="70"/>
      <c r="L245" s="52"/>
      <c r="M245" s="8"/>
      <c r="N245" s="7"/>
      <c r="O245" s="218">
        <f t="shared" si="7"/>
        <v>0</v>
      </c>
      <c r="P245" s="218">
        <f>O245+OCT!P245</f>
        <v>0</v>
      </c>
      <c r="Q245" s="59"/>
      <c r="R245" s="51"/>
      <c r="S245" s="65"/>
      <c r="T245" s="64"/>
      <c r="U245" s="67"/>
      <c r="V245" s="74"/>
      <c r="W245" s="6">
        <f>'CLIENT ENROLLMENT DISCHARGE '!M245</f>
        <v>0</v>
      </c>
      <c r="X245" s="76"/>
      <c r="Y245" s="180"/>
    </row>
    <row r="246" spans="1:25" ht="50.1" customHeight="1" x14ac:dyDescent="0.25">
      <c r="A246" s="5">
        <f t="shared" si="6"/>
        <v>232</v>
      </c>
      <c r="B246" s="10">
        <f>'CLIENT ENROLLMENT DISCHARGE '!B246</f>
        <v>0</v>
      </c>
      <c r="C246" s="4">
        <f>'CLIENT ENROLLMENT DISCHARGE '!C246</f>
        <v>0</v>
      </c>
      <c r="D246" s="52"/>
      <c r="E246" s="53"/>
      <c r="F246" s="52"/>
      <c r="G246" s="53"/>
      <c r="H246" s="63"/>
      <c r="I246" s="116"/>
      <c r="J246" s="3"/>
      <c r="K246" s="71"/>
      <c r="L246" s="53"/>
      <c r="M246" s="2"/>
      <c r="N246" s="1"/>
      <c r="O246" s="218">
        <f t="shared" si="7"/>
        <v>0</v>
      </c>
      <c r="P246" s="218">
        <f>O246+OCT!P246</f>
        <v>0</v>
      </c>
      <c r="Q246" s="60"/>
      <c r="R246" s="52"/>
      <c r="S246" s="66"/>
      <c r="T246" s="65"/>
      <c r="U246" s="68"/>
      <c r="V246" s="59"/>
      <c r="W246" s="6">
        <f>'CLIENT ENROLLMENT DISCHARGE '!M246</f>
        <v>0</v>
      </c>
      <c r="X246" s="76"/>
      <c r="Y246" s="180"/>
    </row>
    <row r="247" spans="1:25" ht="50.1" customHeight="1" x14ac:dyDescent="0.25">
      <c r="A247" s="5">
        <f t="shared" si="6"/>
        <v>233</v>
      </c>
      <c r="B247" s="10">
        <f>'CLIENT ENROLLMENT DISCHARGE '!B247</f>
        <v>0</v>
      </c>
      <c r="C247" s="4">
        <f>'CLIENT ENROLLMENT DISCHARGE '!C247</f>
        <v>0</v>
      </c>
      <c r="D247" s="51"/>
      <c r="E247" s="52"/>
      <c r="F247" s="51"/>
      <c r="G247" s="52"/>
      <c r="H247" s="62"/>
      <c r="I247" s="115"/>
      <c r="J247" s="9"/>
      <c r="K247" s="70"/>
      <c r="L247" s="52"/>
      <c r="M247" s="8"/>
      <c r="N247" s="7"/>
      <c r="O247" s="218">
        <f t="shared" si="7"/>
        <v>0</v>
      </c>
      <c r="P247" s="218">
        <f>O247+OCT!P247</f>
        <v>0</v>
      </c>
      <c r="Q247" s="59"/>
      <c r="R247" s="51"/>
      <c r="S247" s="65"/>
      <c r="T247" s="64"/>
      <c r="U247" s="67"/>
      <c r="V247" s="74"/>
      <c r="W247" s="6">
        <f>'CLIENT ENROLLMENT DISCHARGE '!M247</f>
        <v>0</v>
      </c>
      <c r="X247" s="76"/>
      <c r="Y247" s="180"/>
    </row>
    <row r="248" spans="1:25" ht="50.1" customHeight="1" x14ac:dyDescent="0.25">
      <c r="A248" s="5">
        <f t="shared" si="6"/>
        <v>234</v>
      </c>
      <c r="B248" s="10">
        <f>'CLIENT ENROLLMENT DISCHARGE '!B248</f>
        <v>0</v>
      </c>
      <c r="C248" s="4">
        <f>'CLIENT ENROLLMENT DISCHARGE '!C248</f>
        <v>0</v>
      </c>
      <c r="D248" s="52"/>
      <c r="E248" s="53"/>
      <c r="F248" s="52"/>
      <c r="G248" s="53"/>
      <c r="H248" s="63"/>
      <c r="I248" s="116"/>
      <c r="J248" s="3"/>
      <c r="K248" s="71"/>
      <c r="L248" s="53"/>
      <c r="M248" s="2"/>
      <c r="N248" s="1"/>
      <c r="O248" s="218">
        <f t="shared" si="7"/>
        <v>0</v>
      </c>
      <c r="P248" s="218">
        <f>O248+OCT!P248</f>
        <v>0</v>
      </c>
      <c r="Q248" s="60"/>
      <c r="R248" s="52"/>
      <c r="S248" s="66"/>
      <c r="T248" s="65"/>
      <c r="U248" s="68"/>
      <c r="V248" s="59"/>
      <c r="W248" s="6">
        <f>'CLIENT ENROLLMENT DISCHARGE '!M248</f>
        <v>0</v>
      </c>
      <c r="X248" s="76"/>
      <c r="Y248" s="180"/>
    </row>
    <row r="249" spans="1:25" ht="50.1" customHeight="1" x14ac:dyDescent="0.25">
      <c r="A249" s="5">
        <f t="shared" si="6"/>
        <v>235</v>
      </c>
      <c r="B249" s="10">
        <f>'CLIENT ENROLLMENT DISCHARGE '!B249</f>
        <v>0</v>
      </c>
      <c r="C249" s="4">
        <f>'CLIENT ENROLLMENT DISCHARGE '!C249</f>
        <v>0</v>
      </c>
      <c r="D249" s="51"/>
      <c r="E249" s="52"/>
      <c r="F249" s="51"/>
      <c r="G249" s="52"/>
      <c r="H249" s="62"/>
      <c r="I249" s="115"/>
      <c r="J249" s="9"/>
      <c r="K249" s="70"/>
      <c r="L249" s="52"/>
      <c r="M249" s="8"/>
      <c r="N249" s="7"/>
      <c r="O249" s="218">
        <f t="shared" si="7"/>
        <v>0</v>
      </c>
      <c r="P249" s="218">
        <f>O249+OCT!P249</f>
        <v>0</v>
      </c>
      <c r="Q249" s="59"/>
      <c r="R249" s="51"/>
      <c r="S249" s="65"/>
      <c r="T249" s="64"/>
      <c r="U249" s="67"/>
      <c r="V249" s="74"/>
      <c r="W249" s="6">
        <f>'CLIENT ENROLLMENT DISCHARGE '!M249</f>
        <v>0</v>
      </c>
      <c r="X249" s="76"/>
      <c r="Y249" s="180"/>
    </row>
    <row r="250" spans="1:25" ht="50.1" customHeight="1" x14ac:dyDescent="0.25">
      <c r="A250" s="5">
        <f t="shared" si="6"/>
        <v>236</v>
      </c>
      <c r="B250" s="10">
        <f>'CLIENT ENROLLMENT DISCHARGE '!B250</f>
        <v>0</v>
      </c>
      <c r="C250" s="4">
        <f>'CLIENT ENROLLMENT DISCHARGE '!C250</f>
        <v>0</v>
      </c>
      <c r="D250" s="52"/>
      <c r="E250" s="53"/>
      <c r="F250" s="52"/>
      <c r="G250" s="53"/>
      <c r="H250" s="63"/>
      <c r="I250" s="116"/>
      <c r="J250" s="3"/>
      <c r="K250" s="71"/>
      <c r="L250" s="53"/>
      <c r="M250" s="2"/>
      <c r="N250" s="1"/>
      <c r="O250" s="218">
        <f t="shared" si="7"/>
        <v>0</v>
      </c>
      <c r="P250" s="218">
        <f>O250+OCT!P250</f>
        <v>0</v>
      </c>
      <c r="Q250" s="60"/>
      <c r="R250" s="52"/>
      <c r="S250" s="66"/>
      <c r="T250" s="65"/>
      <c r="U250" s="68"/>
      <c r="V250" s="75"/>
      <c r="W250" s="6">
        <f>'CLIENT ENROLLMENT DISCHARGE '!M250</f>
        <v>0</v>
      </c>
      <c r="X250" s="76"/>
      <c r="Y250" s="180"/>
    </row>
    <row r="251" spans="1:25" ht="50.1" customHeight="1" x14ac:dyDescent="0.25">
      <c r="A251" s="5">
        <f t="shared" si="6"/>
        <v>237</v>
      </c>
      <c r="B251" s="10">
        <f>'CLIENT ENROLLMENT DISCHARGE '!B251</f>
        <v>0</v>
      </c>
      <c r="C251" s="4">
        <f>'CLIENT ENROLLMENT DISCHARGE '!C251</f>
        <v>0</v>
      </c>
      <c r="D251" s="51"/>
      <c r="E251" s="52"/>
      <c r="F251" s="51"/>
      <c r="G251" s="52"/>
      <c r="H251" s="62"/>
      <c r="I251" s="115"/>
      <c r="J251" s="9"/>
      <c r="K251" s="70"/>
      <c r="L251" s="52"/>
      <c r="M251" s="8"/>
      <c r="N251" s="7"/>
      <c r="O251" s="218">
        <f t="shared" si="7"/>
        <v>0</v>
      </c>
      <c r="P251" s="218">
        <f>O251+OCT!P251</f>
        <v>0</v>
      </c>
      <c r="Q251" s="59"/>
      <c r="R251" s="51"/>
      <c r="S251" s="65"/>
      <c r="T251" s="64"/>
      <c r="U251" s="67"/>
      <c r="V251" s="74"/>
      <c r="W251" s="6">
        <f>'CLIENT ENROLLMENT DISCHARGE '!M251</f>
        <v>0</v>
      </c>
      <c r="X251" s="76"/>
      <c r="Y251" s="180"/>
    </row>
    <row r="252" spans="1:25" ht="50.1" customHeight="1" x14ac:dyDescent="0.25">
      <c r="A252" s="5">
        <f t="shared" si="6"/>
        <v>238</v>
      </c>
      <c r="B252" s="10">
        <f>'CLIENT ENROLLMENT DISCHARGE '!B252</f>
        <v>0</v>
      </c>
      <c r="C252" s="4">
        <f>'CLIENT ENROLLMENT DISCHARGE '!C252</f>
        <v>0</v>
      </c>
      <c r="D252" s="52"/>
      <c r="E252" s="53"/>
      <c r="F252" s="52"/>
      <c r="G252" s="53"/>
      <c r="H252" s="63"/>
      <c r="I252" s="116"/>
      <c r="J252" s="3"/>
      <c r="K252" s="71"/>
      <c r="L252" s="53"/>
      <c r="M252" s="2"/>
      <c r="N252" s="1"/>
      <c r="O252" s="218">
        <f t="shared" si="7"/>
        <v>0</v>
      </c>
      <c r="P252" s="218">
        <f>O252+OCT!P252</f>
        <v>0</v>
      </c>
      <c r="Q252" s="60"/>
      <c r="R252" s="52"/>
      <c r="S252" s="66"/>
      <c r="T252" s="65"/>
      <c r="U252" s="68"/>
      <c r="V252" s="59"/>
      <c r="W252" s="6">
        <f>'CLIENT ENROLLMENT DISCHARGE '!M252</f>
        <v>0</v>
      </c>
      <c r="X252" s="76"/>
      <c r="Y252" s="180"/>
    </row>
    <row r="253" spans="1:25" ht="50.1" customHeight="1" x14ac:dyDescent="0.25">
      <c r="A253" s="5">
        <f t="shared" si="6"/>
        <v>239</v>
      </c>
      <c r="B253" s="10">
        <f>'CLIENT ENROLLMENT DISCHARGE '!B253</f>
        <v>0</v>
      </c>
      <c r="C253" s="4">
        <f>'CLIENT ENROLLMENT DISCHARGE '!C253</f>
        <v>0</v>
      </c>
      <c r="D253" s="51"/>
      <c r="E253" s="52"/>
      <c r="F253" s="51"/>
      <c r="G253" s="52"/>
      <c r="H253" s="62"/>
      <c r="I253" s="115"/>
      <c r="J253" s="9"/>
      <c r="K253" s="70"/>
      <c r="L253" s="52"/>
      <c r="M253" s="8"/>
      <c r="N253" s="7"/>
      <c r="O253" s="218">
        <f t="shared" si="7"/>
        <v>0</v>
      </c>
      <c r="P253" s="218">
        <f>O253+OCT!P253</f>
        <v>0</v>
      </c>
      <c r="Q253" s="59"/>
      <c r="R253" s="51"/>
      <c r="S253" s="65"/>
      <c r="T253" s="64"/>
      <c r="U253" s="67"/>
      <c r="V253" s="74"/>
      <c r="W253" s="6">
        <f>'CLIENT ENROLLMENT DISCHARGE '!M253</f>
        <v>0</v>
      </c>
      <c r="X253" s="76"/>
      <c r="Y253" s="180"/>
    </row>
    <row r="254" spans="1:25" ht="50.1" customHeight="1" x14ac:dyDescent="0.25">
      <c r="A254" s="5">
        <f t="shared" si="6"/>
        <v>240</v>
      </c>
      <c r="B254" s="10">
        <f>'CLIENT ENROLLMENT DISCHARGE '!B254</f>
        <v>0</v>
      </c>
      <c r="C254" s="4">
        <f>'CLIENT ENROLLMENT DISCHARGE '!C254</f>
        <v>0</v>
      </c>
      <c r="D254" s="52"/>
      <c r="E254" s="53"/>
      <c r="F254" s="52"/>
      <c r="G254" s="53"/>
      <c r="H254" s="63"/>
      <c r="I254" s="116"/>
      <c r="J254" s="3"/>
      <c r="K254" s="71"/>
      <c r="L254" s="53"/>
      <c r="M254" s="2"/>
      <c r="N254" s="1"/>
      <c r="O254" s="218">
        <f t="shared" si="7"/>
        <v>0</v>
      </c>
      <c r="P254" s="218">
        <f>O254+OCT!P254</f>
        <v>0</v>
      </c>
      <c r="Q254" s="60"/>
      <c r="R254" s="52"/>
      <c r="S254" s="66"/>
      <c r="T254" s="65"/>
      <c r="U254" s="68"/>
      <c r="V254" s="59"/>
      <c r="W254" s="6">
        <f>'CLIENT ENROLLMENT DISCHARGE '!M254</f>
        <v>0</v>
      </c>
      <c r="X254" s="76"/>
      <c r="Y254" s="180"/>
    </row>
    <row r="255" spans="1:25" ht="50.1" customHeight="1" x14ac:dyDescent="0.25">
      <c r="A255" s="5">
        <f t="shared" si="6"/>
        <v>241</v>
      </c>
      <c r="B255" s="10">
        <f>'CLIENT ENROLLMENT DISCHARGE '!B255</f>
        <v>0</v>
      </c>
      <c r="C255" s="4">
        <f>'CLIENT ENROLLMENT DISCHARGE '!C255</f>
        <v>0</v>
      </c>
      <c r="D255" s="51"/>
      <c r="E255" s="52"/>
      <c r="F255" s="51"/>
      <c r="G255" s="52"/>
      <c r="H255" s="62"/>
      <c r="I255" s="115"/>
      <c r="J255" s="9"/>
      <c r="K255" s="70"/>
      <c r="L255" s="52"/>
      <c r="M255" s="8"/>
      <c r="N255" s="7"/>
      <c r="O255" s="218">
        <f t="shared" si="7"/>
        <v>0</v>
      </c>
      <c r="P255" s="218">
        <f>O255+OCT!P255</f>
        <v>0</v>
      </c>
      <c r="Q255" s="59"/>
      <c r="R255" s="51"/>
      <c r="S255" s="65"/>
      <c r="T255" s="64"/>
      <c r="U255" s="67"/>
      <c r="V255" s="74"/>
      <c r="W255" s="6">
        <f>'CLIENT ENROLLMENT DISCHARGE '!M255</f>
        <v>0</v>
      </c>
      <c r="X255" s="76"/>
      <c r="Y255" s="180"/>
    </row>
    <row r="256" spans="1:25" ht="50.1" customHeight="1" x14ac:dyDescent="0.25">
      <c r="A256" s="5">
        <f t="shared" si="6"/>
        <v>242</v>
      </c>
      <c r="B256" s="10">
        <f>'CLIENT ENROLLMENT DISCHARGE '!B256</f>
        <v>0</v>
      </c>
      <c r="C256" s="4">
        <f>'CLIENT ENROLLMENT DISCHARGE '!C256</f>
        <v>0</v>
      </c>
      <c r="D256" s="52"/>
      <c r="E256" s="53"/>
      <c r="F256" s="52"/>
      <c r="G256" s="53"/>
      <c r="H256" s="63"/>
      <c r="I256" s="116"/>
      <c r="J256" s="3"/>
      <c r="K256" s="71"/>
      <c r="L256" s="53"/>
      <c r="M256" s="2"/>
      <c r="N256" s="1"/>
      <c r="O256" s="218">
        <f t="shared" si="7"/>
        <v>0</v>
      </c>
      <c r="P256" s="218">
        <f>O256+OCT!P256</f>
        <v>0</v>
      </c>
      <c r="Q256" s="60"/>
      <c r="R256" s="52"/>
      <c r="S256" s="66"/>
      <c r="T256" s="65"/>
      <c r="U256" s="68"/>
      <c r="V256" s="59"/>
      <c r="W256" s="6">
        <f>'CLIENT ENROLLMENT DISCHARGE '!M256</f>
        <v>0</v>
      </c>
      <c r="X256" s="76"/>
      <c r="Y256" s="180"/>
    </row>
    <row r="257" spans="1:25" ht="50.1" customHeight="1" x14ac:dyDescent="0.25">
      <c r="A257" s="5">
        <f t="shared" si="6"/>
        <v>243</v>
      </c>
      <c r="B257" s="10">
        <f>'CLIENT ENROLLMENT DISCHARGE '!B257</f>
        <v>0</v>
      </c>
      <c r="C257" s="4">
        <f>'CLIENT ENROLLMENT DISCHARGE '!C257</f>
        <v>0</v>
      </c>
      <c r="D257" s="51"/>
      <c r="E257" s="52"/>
      <c r="F257" s="51"/>
      <c r="G257" s="52"/>
      <c r="H257" s="62"/>
      <c r="I257" s="115"/>
      <c r="J257" s="9"/>
      <c r="K257" s="70"/>
      <c r="L257" s="52"/>
      <c r="M257" s="8"/>
      <c r="N257" s="7"/>
      <c r="O257" s="218">
        <f t="shared" si="7"/>
        <v>0</v>
      </c>
      <c r="P257" s="218">
        <f>O257+OCT!P257</f>
        <v>0</v>
      </c>
      <c r="Q257" s="59"/>
      <c r="R257" s="51"/>
      <c r="S257" s="65"/>
      <c r="T257" s="64"/>
      <c r="U257" s="67"/>
      <c r="V257" s="74"/>
      <c r="W257" s="6">
        <f>'CLIENT ENROLLMENT DISCHARGE '!M257</f>
        <v>0</v>
      </c>
      <c r="X257" s="76"/>
      <c r="Y257" s="180"/>
    </row>
    <row r="258" spans="1:25" ht="50.1" customHeight="1" x14ac:dyDescent="0.25">
      <c r="A258" s="5">
        <f t="shared" si="6"/>
        <v>244</v>
      </c>
      <c r="B258" s="10">
        <f>'CLIENT ENROLLMENT DISCHARGE '!B258</f>
        <v>0</v>
      </c>
      <c r="C258" s="4">
        <f>'CLIENT ENROLLMENT DISCHARGE '!C258</f>
        <v>0</v>
      </c>
      <c r="D258" s="52"/>
      <c r="E258" s="53"/>
      <c r="F258" s="52"/>
      <c r="G258" s="53"/>
      <c r="H258" s="63"/>
      <c r="I258" s="116"/>
      <c r="J258" s="3"/>
      <c r="K258" s="71"/>
      <c r="L258" s="53"/>
      <c r="M258" s="2"/>
      <c r="N258" s="1"/>
      <c r="O258" s="218">
        <f t="shared" si="7"/>
        <v>0</v>
      </c>
      <c r="P258" s="218">
        <f>O258+OCT!P258</f>
        <v>0</v>
      </c>
      <c r="Q258" s="60"/>
      <c r="R258" s="52"/>
      <c r="S258" s="66"/>
      <c r="T258" s="65"/>
      <c r="U258" s="68"/>
      <c r="V258" s="59"/>
      <c r="W258" s="6">
        <f>'CLIENT ENROLLMENT DISCHARGE '!M258</f>
        <v>0</v>
      </c>
      <c r="X258" s="76"/>
      <c r="Y258" s="180"/>
    </row>
    <row r="259" spans="1:25" ht="50.1" customHeight="1" x14ac:dyDescent="0.25">
      <c r="A259" s="5">
        <f t="shared" si="6"/>
        <v>245</v>
      </c>
      <c r="B259" s="10">
        <f>'CLIENT ENROLLMENT DISCHARGE '!B259</f>
        <v>0</v>
      </c>
      <c r="C259" s="4">
        <f>'CLIENT ENROLLMENT DISCHARGE '!C259</f>
        <v>0</v>
      </c>
      <c r="D259" s="51"/>
      <c r="E259" s="52"/>
      <c r="F259" s="51"/>
      <c r="G259" s="52"/>
      <c r="H259" s="62"/>
      <c r="I259" s="115"/>
      <c r="J259" s="9"/>
      <c r="K259" s="70"/>
      <c r="L259" s="52"/>
      <c r="M259" s="8"/>
      <c r="N259" s="7"/>
      <c r="O259" s="218">
        <f t="shared" si="7"/>
        <v>0</v>
      </c>
      <c r="P259" s="218">
        <f>O259+OCT!P259</f>
        <v>0</v>
      </c>
      <c r="Q259" s="59"/>
      <c r="R259" s="51"/>
      <c r="S259" s="65"/>
      <c r="T259" s="64"/>
      <c r="U259" s="67"/>
      <c r="V259" s="74"/>
      <c r="W259" s="6">
        <f>'CLIENT ENROLLMENT DISCHARGE '!M259</f>
        <v>0</v>
      </c>
      <c r="X259" s="76"/>
      <c r="Y259" s="180"/>
    </row>
    <row r="260" spans="1:25" ht="50.1" customHeight="1" x14ac:dyDescent="0.25">
      <c r="A260" s="5">
        <f t="shared" si="6"/>
        <v>246</v>
      </c>
      <c r="B260" s="10">
        <f>'CLIENT ENROLLMENT DISCHARGE '!B260</f>
        <v>0</v>
      </c>
      <c r="C260" s="4">
        <f>'CLIENT ENROLLMENT DISCHARGE '!C260</f>
        <v>0</v>
      </c>
      <c r="D260" s="52"/>
      <c r="E260" s="53"/>
      <c r="F260" s="52"/>
      <c r="G260" s="53"/>
      <c r="H260" s="63"/>
      <c r="I260" s="116"/>
      <c r="J260" s="3"/>
      <c r="K260" s="71"/>
      <c r="L260" s="53"/>
      <c r="M260" s="2"/>
      <c r="N260" s="1"/>
      <c r="O260" s="218">
        <f t="shared" si="7"/>
        <v>0</v>
      </c>
      <c r="P260" s="218">
        <f>O260+OCT!P260</f>
        <v>0</v>
      </c>
      <c r="Q260" s="60"/>
      <c r="R260" s="52"/>
      <c r="S260" s="66"/>
      <c r="T260" s="65"/>
      <c r="U260" s="68"/>
      <c r="V260" s="75"/>
      <c r="W260" s="6">
        <f>'CLIENT ENROLLMENT DISCHARGE '!M260</f>
        <v>0</v>
      </c>
      <c r="X260" s="76"/>
      <c r="Y260" s="180"/>
    </row>
    <row r="261" spans="1:25" ht="50.1" customHeight="1" x14ac:dyDescent="0.25">
      <c r="A261" s="5">
        <f t="shared" si="6"/>
        <v>247</v>
      </c>
      <c r="B261" s="10">
        <f>'CLIENT ENROLLMENT DISCHARGE '!B261</f>
        <v>0</v>
      </c>
      <c r="C261" s="4">
        <f>'CLIENT ENROLLMENT DISCHARGE '!C261</f>
        <v>0</v>
      </c>
      <c r="D261" s="51"/>
      <c r="E261" s="52"/>
      <c r="F261" s="51"/>
      <c r="G261" s="52"/>
      <c r="H261" s="62"/>
      <c r="I261" s="115"/>
      <c r="J261" s="9"/>
      <c r="K261" s="70"/>
      <c r="L261" s="52"/>
      <c r="M261" s="8"/>
      <c r="N261" s="7"/>
      <c r="O261" s="218">
        <f t="shared" si="7"/>
        <v>0</v>
      </c>
      <c r="P261" s="218">
        <f>O261+OCT!P261</f>
        <v>0</v>
      </c>
      <c r="Q261" s="59"/>
      <c r="R261" s="51"/>
      <c r="S261" s="65"/>
      <c r="T261" s="64"/>
      <c r="U261" s="67"/>
      <c r="V261" s="74"/>
      <c r="W261" s="6">
        <f>'CLIENT ENROLLMENT DISCHARGE '!M261</f>
        <v>0</v>
      </c>
      <c r="X261" s="76"/>
      <c r="Y261" s="180"/>
    </row>
    <row r="262" spans="1:25" ht="50.1" customHeight="1" x14ac:dyDescent="0.25">
      <c r="A262" s="5">
        <f t="shared" si="6"/>
        <v>248</v>
      </c>
      <c r="B262" s="10">
        <f>'CLIENT ENROLLMENT DISCHARGE '!B262</f>
        <v>0</v>
      </c>
      <c r="C262" s="4">
        <f>'CLIENT ENROLLMENT DISCHARGE '!C262</f>
        <v>0</v>
      </c>
      <c r="D262" s="52"/>
      <c r="E262" s="53"/>
      <c r="F262" s="52"/>
      <c r="G262" s="53"/>
      <c r="H262" s="63"/>
      <c r="I262" s="116"/>
      <c r="J262" s="3"/>
      <c r="K262" s="71"/>
      <c r="L262" s="53"/>
      <c r="M262" s="2"/>
      <c r="N262" s="1"/>
      <c r="O262" s="218">
        <f t="shared" si="7"/>
        <v>0</v>
      </c>
      <c r="P262" s="218">
        <f>O262+OCT!P262</f>
        <v>0</v>
      </c>
      <c r="Q262" s="60"/>
      <c r="R262" s="52"/>
      <c r="S262" s="66"/>
      <c r="T262" s="65"/>
      <c r="U262" s="68"/>
      <c r="V262" s="59"/>
      <c r="W262" s="6">
        <f>'CLIENT ENROLLMENT DISCHARGE '!M262</f>
        <v>0</v>
      </c>
      <c r="X262" s="76"/>
      <c r="Y262" s="180"/>
    </row>
    <row r="263" spans="1:25" ht="50.1" customHeight="1" x14ac:dyDescent="0.25">
      <c r="A263" s="5">
        <f t="shared" si="6"/>
        <v>249</v>
      </c>
      <c r="B263" s="10">
        <f>'CLIENT ENROLLMENT DISCHARGE '!B263</f>
        <v>0</v>
      </c>
      <c r="C263" s="4">
        <f>'CLIENT ENROLLMENT DISCHARGE '!C263</f>
        <v>0</v>
      </c>
      <c r="D263" s="51"/>
      <c r="E263" s="52"/>
      <c r="F263" s="51"/>
      <c r="G263" s="52"/>
      <c r="H263" s="62"/>
      <c r="I263" s="115"/>
      <c r="J263" s="9"/>
      <c r="K263" s="70"/>
      <c r="L263" s="52"/>
      <c r="M263" s="8"/>
      <c r="N263" s="7"/>
      <c r="O263" s="218">
        <f t="shared" si="7"/>
        <v>0</v>
      </c>
      <c r="P263" s="218">
        <f>O263+OCT!P263</f>
        <v>0</v>
      </c>
      <c r="Q263" s="59"/>
      <c r="R263" s="51"/>
      <c r="S263" s="65"/>
      <c r="T263" s="64"/>
      <c r="U263" s="67"/>
      <c r="V263" s="74"/>
      <c r="W263" s="6">
        <f>'CLIENT ENROLLMENT DISCHARGE '!M263</f>
        <v>0</v>
      </c>
      <c r="X263" s="76"/>
      <c r="Y263" s="180"/>
    </row>
    <row r="264" spans="1:25" ht="50.1" customHeight="1" x14ac:dyDescent="0.25">
      <c r="A264" s="5">
        <f t="shared" si="6"/>
        <v>250</v>
      </c>
      <c r="B264" s="10">
        <f>'CLIENT ENROLLMENT DISCHARGE '!B264</f>
        <v>0</v>
      </c>
      <c r="C264" s="4">
        <f>'CLIENT ENROLLMENT DISCHARGE '!C264</f>
        <v>0</v>
      </c>
      <c r="D264" s="52"/>
      <c r="E264" s="53"/>
      <c r="F264" s="52"/>
      <c r="G264" s="53"/>
      <c r="H264" s="63"/>
      <c r="I264" s="116"/>
      <c r="J264" s="3"/>
      <c r="K264" s="71"/>
      <c r="L264" s="53"/>
      <c r="M264" s="2"/>
      <c r="N264" s="1"/>
      <c r="O264" s="218">
        <f t="shared" si="7"/>
        <v>0</v>
      </c>
      <c r="P264" s="218">
        <f>O264+OCT!P264</f>
        <v>0</v>
      </c>
      <c r="Q264" s="60"/>
      <c r="R264" s="52"/>
      <c r="S264" s="66"/>
      <c r="T264" s="65"/>
      <c r="U264" s="68"/>
      <c r="V264" s="59"/>
      <c r="W264" s="6">
        <f>'CLIENT ENROLLMENT DISCHARGE '!M264</f>
        <v>0</v>
      </c>
      <c r="X264" s="76"/>
      <c r="Y264" s="180"/>
    </row>
    <row r="265" spans="1:25" ht="50.1" customHeight="1" x14ac:dyDescent="0.25">
      <c r="A265" s="5">
        <f t="shared" si="6"/>
        <v>251</v>
      </c>
      <c r="B265" s="10">
        <f>'CLIENT ENROLLMENT DISCHARGE '!B265</f>
        <v>0</v>
      </c>
      <c r="C265" s="4">
        <f>'CLIENT ENROLLMENT DISCHARGE '!C265</f>
        <v>0</v>
      </c>
      <c r="D265" s="51"/>
      <c r="E265" s="52"/>
      <c r="F265" s="51"/>
      <c r="G265" s="52"/>
      <c r="H265" s="62"/>
      <c r="I265" s="115"/>
      <c r="J265" s="9"/>
      <c r="K265" s="70"/>
      <c r="L265" s="52"/>
      <c r="M265" s="8"/>
      <c r="N265" s="7"/>
      <c r="O265" s="218">
        <f t="shared" si="7"/>
        <v>0</v>
      </c>
      <c r="P265" s="218">
        <f>O265+OCT!P265</f>
        <v>0</v>
      </c>
      <c r="Q265" s="59"/>
      <c r="R265" s="51"/>
      <c r="S265" s="65"/>
      <c r="T265" s="64"/>
      <c r="U265" s="67"/>
      <c r="V265" s="74"/>
      <c r="W265" s="6">
        <f>'CLIENT ENROLLMENT DISCHARGE '!M265</f>
        <v>0</v>
      </c>
      <c r="X265" s="76"/>
      <c r="Y265" s="180"/>
    </row>
    <row r="266" spans="1:25" ht="50.1" customHeight="1" x14ac:dyDescent="0.25">
      <c r="A266" s="5">
        <f t="shared" si="6"/>
        <v>252</v>
      </c>
      <c r="B266" s="10">
        <f>'CLIENT ENROLLMENT DISCHARGE '!B266</f>
        <v>0</v>
      </c>
      <c r="C266" s="4">
        <f>'CLIENT ENROLLMENT DISCHARGE '!C266</f>
        <v>0</v>
      </c>
      <c r="D266" s="52"/>
      <c r="E266" s="53"/>
      <c r="F266" s="52"/>
      <c r="G266" s="53"/>
      <c r="H266" s="63"/>
      <c r="I266" s="116"/>
      <c r="J266" s="3"/>
      <c r="K266" s="71"/>
      <c r="L266" s="53"/>
      <c r="M266" s="2"/>
      <c r="N266" s="1"/>
      <c r="O266" s="218">
        <f t="shared" si="7"/>
        <v>0</v>
      </c>
      <c r="P266" s="218">
        <f>O266+OCT!P266</f>
        <v>0</v>
      </c>
      <c r="Q266" s="60"/>
      <c r="R266" s="52"/>
      <c r="S266" s="66"/>
      <c r="T266" s="65"/>
      <c r="U266" s="68"/>
      <c r="V266" s="59"/>
      <c r="W266" s="6">
        <f>'CLIENT ENROLLMENT DISCHARGE '!M266</f>
        <v>0</v>
      </c>
      <c r="X266" s="76"/>
      <c r="Y266" s="180"/>
    </row>
    <row r="267" spans="1:25" ht="50.1" customHeight="1" x14ac:dyDescent="0.25">
      <c r="A267" s="5">
        <f t="shared" si="6"/>
        <v>253</v>
      </c>
      <c r="B267" s="10">
        <f>'CLIENT ENROLLMENT DISCHARGE '!B267</f>
        <v>0</v>
      </c>
      <c r="C267" s="4">
        <f>'CLIENT ENROLLMENT DISCHARGE '!C267</f>
        <v>0</v>
      </c>
      <c r="D267" s="51"/>
      <c r="E267" s="52"/>
      <c r="F267" s="51"/>
      <c r="G267" s="52"/>
      <c r="H267" s="62"/>
      <c r="I267" s="115"/>
      <c r="J267" s="9"/>
      <c r="K267" s="70"/>
      <c r="L267" s="52"/>
      <c r="M267" s="8"/>
      <c r="N267" s="7"/>
      <c r="O267" s="218">
        <f t="shared" si="7"/>
        <v>0</v>
      </c>
      <c r="P267" s="218">
        <f>O267+OCT!P267</f>
        <v>0</v>
      </c>
      <c r="Q267" s="59"/>
      <c r="R267" s="51"/>
      <c r="S267" s="65"/>
      <c r="T267" s="64"/>
      <c r="U267" s="67"/>
      <c r="V267" s="74"/>
      <c r="W267" s="6">
        <f>'CLIENT ENROLLMENT DISCHARGE '!M267</f>
        <v>0</v>
      </c>
      <c r="X267" s="76"/>
      <c r="Y267" s="180"/>
    </row>
    <row r="268" spans="1:25" ht="50.1" customHeight="1" x14ac:dyDescent="0.25">
      <c r="A268" s="5">
        <f t="shared" si="6"/>
        <v>254</v>
      </c>
      <c r="B268" s="10">
        <f>'CLIENT ENROLLMENT DISCHARGE '!B268</f>
        <v>0</v>
      </c>
      <c r="C268" s="4">
        <f>'CLIENT ENROLLMENT DISCHARGE '!C268</f>
        <v>0</v>
      </c>
      <c r="D268" s="52"/>
      <c r="E268" s="53"/>
      <c r="F268" s="52"/>
      <c r="G268" s="53"/>
      <c r="H268" s="63"/>
      <c r="I268" s="116"/>
      <c r="J268" s="3"/>
      <c r="K268" s="71"/>
      <c r="L268" s="53"/>
      <c r="M268" s="2"/>
      <c r="N268" s="1"/>
      <c r="O268" s="218">
        <f t="shared" si="7"/>
        <v>0</v>
      </c>
      <c r="P268" s="218">
        <f>O268+OCT!P268</f>
        <v>0</v>
      </c>
      <c r="Q268" s="60"/>
      <c r="R268" s="52"/>
      <c r="S268" s="66"/>
      <c r="T268" s="65"/>
      <c r="U268" s="68"/>
      <c r="V268" s="59"/>
      <c r="W268" s="6">
        <f>'CLIENT ENROLLMENT DISCHARGE '!M268</f>
        <v>0</v>
      </c>
      <c r="X268" s="76"/>
      <c r="Y268" s="180"/>
    </row>
    <row r="269" spans="1:25" ht="50.1" customHeight="1" x14ac:dyDescent="0.25">
      <c r="A269" s="5">
        <f t="shared" si="6"/>
        <v>255</v>
      </c>
      <c r="B269" s="10">
        <f>'CLIENT ENROLLMENT DISCHARGE '!B269</f>
        <v>0</v>
      </c>
      <c r="C269" s="4">
        <f>'CLIENT ENROLLMENT DISCHARGE '!C269</f>
        <v>0</v>
      </c>
      <c r="D269" s="51"/>
      <c r="E269" s="52"/>
      <c r="F269" s="51"/>
      <c r="G269" s="52"/>
      <c r="H269" s="62"/>
      <c r="I269" s="115"/>
      <c r="J269" s="9"/>
      <c r="K269" s="70"/>
      <c r="L269" s="52"/>
      <c r="M269" s="8"/>
      <c r="N269" s="7"/>
      <c r="O269" s="218">
        <f t="shared" si="7"/>
        <v>0</v>
      </c>
      <c r="P269" s="218">
        <f>O269+OCT!P269</f>
        <v>0</v>
      </c>
      <c r="Q269" s="59"/>
      <c r="R269" s="51"/>
      <c r="S269" s="65"/>
      <c r="T269" s="64"/>
      <c r="U269" s="67"/>
      <c r="V269" s="74"/>
      <c r="W269" s="6">
        <f>'CLIENT ENROLLMENT DISCHARGE '!M269</f>
        <v>0</v>
      </c>
      <c r="X269" s="76"/>
      <c r="Y269" s="180"/>
    </row>
    <row r="270" spans="1:25" ht="50.1" customHeight="1" x14ac:dyDescent="0.25">
      <c r="A270" s="5">
        <f t="shared" si="6"/>
        <v>256</v>
      </c>
      <c r="B270" s="10">
        <f>'CLIENT ENROLLMENT DISCHARGE '!B270</f>
        <v>0</v>
      </c>
      <c r="C270" s="4">
        <f>'CLIENT ENROLLMENT DISCHARGE '!C270</f>
        <v>0</v>
      </c>
      <c r="D270" s="52"/>
      <c r="E270" s="53"/>
      <c r="F270" s="52"/>
      <c r="G270" s="53"/>
      <c r="H270" s="63"/>
      <c r="I270" s="116"/>
      <c r="J270" s="3"/>
      <c r="K270" s="71"/>
      <c r="L270" s="53"/>
      <c r="M270" s="2"/>
      <c r="N270" s="1"/>
      <c r="O270" s="218">
        <f t="shared" si="7"/>
        <v>0</v>
      </c>
      <c r="P270" s="218">
        <f>O270+OCT!P270</f>
        <v>0</v>
      </c>
      <c r="Q270" s="60"/>
      <c r="R270" s="52"/>
      <c r="S270" s="66"/>
      <c r="T270" s="65"/>
      <c r="U270" s="68"/>
      <c r="V270" s="75"/>
      <c r="W270" s="6">
        <f>'CLIENT ENROLLMENT DISCHARGE '!M270</f>
        <v>0</v>
      </c>
      <c r="X270" s="76"/>
      <c r="Y270" s="180"/>
    </row>
    <row r="271" spans="1:25" ht="50.1" customHeight="1" x14ac:dyDescent="0.25">
      <c r="A271" s="5">
        <f t="shared" si="6"/>
        <v>257</v>
      </c>
      <c r="B271" s="10">
        <f>'CLIENT ENROLLMENT DISCHARGE '!B271</f>
        <v>0</v>
      </c>
      <c r="C271" s="4">
        <f>'CLIENT ENROLLMENT DISCHARGE '!C271</f>
        <v>0</v>
      </c>
      <c r="D271" s="51"/>
      <c r="E271" s="52"/>
      <c r="F271" s="51"/>
      <c r="G271" s="52"/>
      <c r="H271" s="62"/>
      <c r="I271" s="115"/>
      <c r="J271" s="9"/>
      <c r="K271" s="70"/>
      <c r="L271" s="52"/>
      <c r="M271" s="8"/>
      <c r="N271" s="7"/>
      <c r="O271" s="218">
        <f t="shared" si="7"/>
        <v>0</v>
      </c>
      <c r="P271" s="218">
        <f>O271+OCT!P271</f>
        <v>0</v>
      </c>
      <c r="Q271" s="59"/>
      <c r="R271" s="51"/>
      <c r="S271" s="65"/>
      <c r="T271" s="64"/>
      <c r="U271" s="67"/>
      <c r="V271" s="74"/>
      <c r="W271" s="6">
        <f>'CLIENT ENROLLMENT DISCHARGE '!M271</f>
        <v>0</v>
      </c>
      <c r="X271" s="76"/>
      <c r="Y271" s="180"/>
    </row>
    <row r="272" spans="1:25" ht="50.1" customHeight="1" x14ac:dyDescent="0.25">
      <c r="A272" s="5">
        <f t="shared" ref="A272:A335" si="8">ROW(A258)</f>
        <v>258</v>
      </c>
      <c r="B272" s="10">
        <f>'CLIENT ENROLLMENT DISCHARGE '!B272</f>
        <v>0</v>
      </c>
      <c r="C272" s="4">
        <f>'CLIENT ENROLLMENT DISCHARGE '!C272</f>
        <v>0</v>
      </c>
      <c r="D272" s="52"/>
      <c r="E272" s="53"/>
      <c r="F272" s="52"/>
      <c r="G272" s="53"/>
      <c r="H272" s="63"/>
      <c r="I272" s="116"/>
      <c r="J272" s="3"/>
      <c r="K272" s="71"/>
      <c r="L272" s="53"/>
      <c r="M272" s="2"/>
      <c r="N272" s="1"/>
      <c r="O272" s="218">
        <f t="shared" ref="O272:O335" si="9">K272*N272</f>
        <v>0</v>
      </c>
      <c r="P272" s="218">
        <f>O272+OCT!P272</f>
        <v>0</v>
      </c>
      <c r="Q272" s="60"/>
      <c r="R272" s="52"/>
      <c r="S272" s="66"/>
      <c r="T272" s="65"/>
      <c r="U272" s="68"/>
      <c r="V272" s="59"/>
      <c r="W272" s="6">
        <f>'CLIENT ENROLLMENT DISCHARGE '!M272</f>
        <v>0</v>
      </c>
      <c r="X272" s="76"/>
      <c r="Y272" s="180"/>
    </row>
    <row r="273" spans="1:25" ht="50.1" customHeight="1" x14ac:dyDescent="0.25">
      <c r="A273" s="5">
        <f t="shared" si="8"/>
        <v>259</v>
      </c>
      <c r="B273" s="10">
        <f>'CLIENT ENROLLMENT DISCHARGE '!B273</f>
        <v>0</v>
      </c>
      <c r="C273" s="4">
        <f>'CLIENT ENROLLMENT DISCHARGE '!C273</f>
        <v>0</v>
      </c>
      <c r="D273" s="51"/>
      <c r="E273" s="52"/>
      <c r="F273" s="51"/>
      <c r="G273" s="52"/>
      <c r="H273" s="62"/>
      <c r="I273" s="115"/>
      <c r="J273" s="9"/>
      <c r="K273" s="70"/>
      <c r="L273" s="52"/>
      <c r="M273" s="8"/>
      <c r="N273" s="7"/>
      <c r="O273" s="218">
        <f t="shared" si="9"/>
        <v>0</v>
      </c>
      <c r="P273" s="218">
        <f>O273+OCT!P273</f>
        <v>0</v>
      </c>
      <c r="Q273" s="59"/>
      <c r="R273" s="51"/>
      <c r="S273" s="65"/>
      <c r="T273" s="64"/>
      <c r="U273" s="67"/>
      <c r="V273" s="74"/>
      <c r="W273" s="6">
        <f>'CLIENT ENROLLMENT DISCHARGE '!M273</f>
        <v>0</v>
      </c>
      <c r="X273" s="76"/>
      <c r="Y273" s="180"/>
    </row>
    <row r="274" spans="1:25" ht="50.1" customHeight="1" x14ac:dyDescent="0.25">
      <c r="A274" s="5">
        <f t="shared" si="8"/>
        <v>260</v>
      </c>
      <c r="B274" s="10">
        <f>'CLIENT ENROLLMENT DISCHARGE '!B274</f>
        <v>0</v>
      </c>
      <c r="C274" s="4">
        <f>'CLIENT ENROLLMENT DISCHARGE '!C274</f>
        <v>0</v>
      </c>
      <c r="D274" s="52"/>
      <c r="E274" s="53"/>
      <c r="F274" s="52"/>
      <c r="G274" s="53"/>
      <c r="H274" s="63"/>
      <c r="I274" s="116"/>
      <c r="J274" s="3"/>
      <c r="K274" s="71"/>
      <c r="L274" s="53"/>
      <c r="M274" s="2"/>
      <c r="N274" s="1"/>
      <c r="O274" s="218">
        <f t="shared" si="9"/>
        <v>0</v>
      </c>
      <c r="P274" s="218">
        <f>O274+OCT!P274</f>
        <v>0</v>
      </c>
      <c r="Q274" s="60"/>
      <c r="R274" s="52"/>
      <c r="S274" s="66"/>
      <c r="T274" s="65"/>
      <c r="U274" s="68"/>
      <c r="V274" s="59"/>
      <c r="W274" s="6">
        <f>'CLIENT ENROLLMENT DISCHARGE '!M274</f>
        <v>0</v>
      </c>
      <c r="X274" s="76"/>
      <c r="Y274" s="180"/>
    </row>
    <row r="275" spans="1:25" ht="50.1" customHeight="1" x14ac:dyDescent="0.25">
      <c r="A275" s="5">
        <f t="shared" si="8"/>
        <v>261</v>
      </c>
      <c r="B275" s="10">
        <f>'CLIENT ENROLLMENT DISCHARGE '!B275</f>
        <v>0</v>
      </c>
      <c r="C275" s="4">
        <f>'CLIENT ENROLLMENT DISCHARGE '!C275</f>
        <v>0</v>
      </c>
      <c r="D275" s="51"/>
      <c r="E275" s="52"/>
      <c r="F275" s="51"/>
      <c r="G275" s="52"/>
      <c r="H275" s="62"/>
      <c r="I275" s="115"/>
      <c r="J275" s="9"/>
      <c r="K275" s="70"/>
      <c r="L275" s="52"/>
      <c r="M275" s="8"/>
      <c r="N275" s="7"/>
      <c r="O275" s="218">
        <f t="shared" si="9"/>
        <v>0</v>
      </c>
      <c r="P275" s="218">
        <f>O275+OCT!P275</f>
        <v>0</v>
      </c>
      <c r="Q275" s="59"/>
      <c r="R275" s="51"/>
      <c r="S275" s="65"/>
      <c r="T275" s="64"/>
      <c r="U275" s="67"/>
      <c r="V275" s="74"/>
      <c r="W275" s="6">
        <f>'CLIENT ENROLLMENT DISCHARGE '!M275</f>
        <v>0</v>
      </c>
      <c r="X275" s="76"/>
      <c r="Y275" s="180"/>
    </row>
    <row r="276" spans="1:25" ht="50.1" customHeight="1" x14ac:dyDescent="0.25">
      <c r="A276" s="5">
        <f t="shared" si="8"/>
        <v>262</v>
      </c>
      <c r="B276" s="10">
        <f>'CLIENT ENROLLMENT DISCHARGE '!B276</f>
        <v>0</v>
      </c>
      <c r="C276" s="4">
        <f>'CLIENT ENROLLMENT DISCHARGE '!C276</f>
        <v>0</v>
      </c>
      <c r="D276" s="52"/>
      <c r="E276" s="53"/>
      <c r="F276" s="52"/>
      <c r="G276" s="53"/>
      <c r="H276" s="63"/>
      <c r="I276" s="116"/>
      <c r="J276" s="3"/>
      <c r="K276" s="71"/>
      <c r="L276" s="53"/>
      <c r="M276" s="2"/>
      <c r="N276" s="1"/>
      <c r="O276" s="218">
        <f t="shared" si="9"/>
        <v>0</v>
      </c>
      <c r="P276" s="218">
        <f>O276+OCT!P276</f>
        <v>0</v>
      </c>
      <c r="Q276" s="60"/>
      <c r="R276" s="52"/>
      <c r="S276" s="66"/>
      <c r="T276" s="65"/>
      <c r="U276" s="68"/>
      <c r="V276" s="59"/>
      <c r="W276" s="6">
        <f>'CLIENT ENROLLMENT DISCHARGE '!M276</f>
        <v>0</v>
      </c>
      <c r="X276" s="76"/>
      <c r="Y276" s="180"/>
    </row>
    <row r="277" spans="1:25" ht="50.1" customHeight="1" x14ac:dyDescent="0.25">
      <c r="A277" s="5">
        <f t="shared" si="8"/>
        <v>263</v>
      </c>
      <c r="B277" s="10">
        <f>'CLIENT ENROLLMENT DISCHARGE '!B277</f>
        <v>0</v>
      </c>
      <c r="C277" s="4">
        <f>'CLIENT ENROLLMENT DISCHARGE '!C277</f>
        <v>0</v>
      </c>
      <c r="D277" s="51"/>
      <c r="E277" s="52"/>
      <c r="F277" s="51"/>
      <c r="G277" s="52"/>
      <c r="H277" s="62"/>
      <c r="I277" s="115"/>
      <c r="J277" s="9"/>
      <c r="K277" s="70"/>
      <c r="L277" s="52"/>
      <c r="M277" s="8"/>
      <c r="N277" s="7"/>
      <c r="O277" s="218">
        <f t="shared" si="9"/>
        <v>0</v>
      </c>
      <c r="P277" s="218">
        <f>O277+OCT!P277</f>
        <v>0</v>
      </c>
      <c r="Q277" s="59"/>
      <c r="R277" s="51"/>
      <c r="S277" s="65"/>
      <c r="T277" s="64"/>
      <c r="U277" s="67"/>
      <c r="V277" s="74"/>
      <c r="W277" s="6">
        <f>'CLIENT ENROLLMENT DISCHARGE '!M277</f>
        <v>0</v>
      </c>
      <c r="X277" s="76"/>
      <c r="Y277" s="180"/>
    </row>
    <row r="278" spans="1:25" ht="50.1" customHeight="1" x14ac:dyDescent="0.25">
      <c r="A278" s="5">
        <f t="shared" si="8"/>
        <v>264</v>
      </c>
      <c r="B278" s="10">
        <f>'CLIENT ENROLLMENT DISCHARGE '!B278</f>
        <v>0</v>
      </c>
      <c r="C278" s="4">
        <f>'CLIENT ENROLLMENT DISCHARGE '!C278</f>
        <v>0</v>
      </c>
      <c r="D278" s="52"/>
      <c r="E278" s="53"/>
      <c r="F278" s="52"/>
      <c r="G278" s="53"/>
      <c r="H278" s="63"/>
      <c r="I278" s="116"/>
      <c r="J278" s="3"/>
      <c r="K278" s="71"/>
      <c r="L278" s="53"/>
      <c r="M278" s="2"/>
      <c r="N278" s="1"/>
      <c r="O278" s="218">
        <f t="shared" si="9"/>
        <v>0</v>
      </c>
      <c r="P278" s="218">
        <f>O278+OCT!P278</f>
        <v>0</v>
      </c>
      <c r="Q278" s="60"/>
      <c r="R278" s="52"/>
      <c r="S278" s="66"/>
      <c r="T278" s="65"/>
      <c r="U278" s="68"/>
      <c r="V278" s="59"/>
      <c r="W278" s="6">
        <f>'CLIENT ENROLLMENT DISCHARGE '!M278</f>
        <v>0</v>
      </c>
      <c r="X278" s="76"/>
      <c r="Y278" s="180"/>
    </row>
    <row r="279" spans="1:25" ht="50.1" customHeight="1" x14ac:dyDescent="0.25">
      <c r="A279" s="5">
        <f t="shared" si="8"/>
        <v>265</v>
      </c>
      <c r="B279" s="10">
        <f>'CLIENT ENROLLMENT DISCHARGE '!B279</f>
        <v>0</v>
      </c>
      <c r="C279" s="4">
        <f>'CLIENT ENROLLMENT DISCHARGE '!C279</f>
        <v>0</v>
      </c>
      <c r="D279" s="51"/>
      <c r="E279" s="52"/>
      <c r="F279" s="51"/>
      <c r="G279" s="52"/>
      <c r="H279" s="62"/>
      <c r="I279" s="115"/>
      <c r="J279" s="9"/>
      <c r="K279" s="70"/>
      <c r="L279" s="52"/>
      <c r="M279" s="8"/>
      <c r="N279" s="7"/>
      <c r="O279" s="218">
        <f t="shared" si="9"/>
        <v>0</v>
      </c>
      <c r="P279" s="218">
        <f>O279+OCT!P279</f>
        <v>0</v>
      </c>
      <c r="Q279" s="59"/>
      <c r="R279" s="51"/>
      <c r="S279" s="65"/>
      <c r="T279" s="64"/>
      <c r="U279" s="67"/>
      <c r="V279" s="74"/>
      <c r="W279" s="6">
        <f>'CLIENT ENROLLMENT DISCHARGE '!M279</f>
        <v>0</v>
      </c>
      <c r="X279" s="76"/>
      <c r="Y279" s="180"/>
    </row>
    <row r="280" spans="1:25" ht="50.1" customHeight="1" x14ac:dyDescent="0.25">
      <c r="A280" s="5">
        <f t="shared" si="8"/>
        <v>266</v>
      </c>
      <c r="B280" s="10">
        <f>'CLIENT ENROLLMENT DISCHARGE '!B280</f>
        <v>0</v>
      </c>
      <c r="C280" s="4">
        <f>'CLIENT ENROLLMENT DISCHARGE '!C280</f>
        <v>0</v>
      </c>
      <c r="D280" s="52"/>
      <c r="E280" s="53"/>
      <c r="F280" s="52"/>
      <c r="G280" s="53"/>
      <c r="H280" s="63"/>
      <c r="I280" s="116"/>
      <c r="J280" s="3"/>
      <c r="K280" s="71"/>
      <c r="L280" s="53"/>
      <c r="M280" s="2"/>
      <c r="N280" s="1"/>
      <c r="O280" s="218">
        <f t="shared" si="9"/>
        <v>0</v>
      </c>
      <c r="P280" s="218">
        <f>O280+OCT!P280</f>
        <v>0</v>
      </c>
      <c r="Q280" s="60"/>
      <c r="R280" s="52"/>
      <c r="S280" s="66"/>
      <c r="T280" s="65"/>
      <c r="U280" s="68"/>
      <c r="V280" s="75"/>
      <c r="W280" s="6">
        <f>'CLIENT ENROLLMENT DISCHARGE '!M280</f>
        <v>0</v>
      </c>
      <c r="X280" s="76"/>
      <c r="Y280" s="180"/>
    </row>
    <row r="281" spans="1:25" ht="50.1" customHeight="1" x14ac:dyDescent="0.25">
      <c r="A281" s="5">
        <f t="shared" si="8"/>
        <v>267</v>
      </c>
      <c r="B281" s="10">
        <f>'CLIENT ENROLLMENT DISCHARGE '!B281</f>
        <v>0</v>
      </c>
      <c r="C281" s="4">
        <f>'CLIENT ENROLLMENT DISCHARGE '!C281</f>
        <v>0</v>
      </c>
      <c r="D281" s="51"/>
      <c r="E281" s="52"/>
      <c r="F281" s="51"/>
      <c r="G281" s="52"/>
      <c r="H281" s="62"/>
      <c r="I281" s="115"/>
      <c r="J281" s="9"/>
      <c r="K281" s="70"/>
      <c r="L281" s="52"/>
      <c r="M281" s="8"/>
      <c r="N281" s="7"/>
      <c r="O281" s="218">
        <f t="shared" si="9"/>
        <v>0</v>
      </c>
      <c r="P281" s="218">
        <f>O281+OCT!P281</f>
        <v>0</v>
      </c>
      <c r="Q281" s="59"/>
      <c r="R281" s="51"/>
      <c r="S281" s="65"/>
      <c r="T281" s="64"/>
      <c r="U281" s="67"/>
      <c r="V281" s="74"/>
      <c r="W281" s="6">
        <f>'CLIENT ENROLLMENT DISCHARGE '!M281</f>
        <v>0</v>
      </c>
      <c r="X281" s="76"/>
      <c r="Y281" s="180"/>
    </row>
    <row r="282" spans="1:25" ht="50.1" customHeight="1" x14ac:dyDescent="0.25">
      <c r="A282" s="5">
        <f t="shared" si="8"/>
        <v>268</v>
      </c>
      <c r="B282" s="10">
        <f>'CLIENT ENROLLMENT DISCHARGE '!B282</f>
        <v>0</v>
      </c>
      <c r="C282" s="4">
        <f>'CLIENT ENROLLMENT DISCHARGE '!C282</f>
        <v>0</v>
      </c>
      <c r="D282" s="52"/>
      <c r="E282" s="53"/>
      <c r="F282" s="52"/>
      <c r="G282" s="53"/>
      <c r="H282" s="63"/>
      <c r="I282" s="116"/>
      <c r="J282" s="3"/>
      <c r="K282" s="71"/>
      <c r="L282" s="53"/>
      <c r="M282" s="2"/>
      <c r="N282" s="1"/>
      <c r="O282" s="218">
        <f t="shared" si="9"/>
        <v>0</v>
      </c>
      <c r="P282" s="218">
        <f>O282+OCT!P282</f>
        <v>0</v>
      </c>
      <c r="Q282" s="60"/>
      <c r="R282" s="52"/>
      <c r="S282" s="66"/>
      <c r="T282" s="65"/>
      <c r="U282" s="68"/>
      <c r="V282" s="59"/>
      <c r="W282" s="6">
        <f>'CLIENT ENROLLMENT DISCHARGE '!M282</f>
        <v>0</v>
      </c>
      <c r="X282" s="76"/>
      <c r="Y282" s="180"/>
    </row>
    <row r="283" spans="1:25" ht="50.1" customHeight="1" x14ac:dyDescent="0.25">
      <c r="A283" s="5">
        <f t="shared" si="8"/>
        <v>269</v>
      </c>
      <c r="B283" s="10">
        <f>'CLIENT ENROLLMENT DISCHARGE '!B283</f>
        <v>0</v>
      </c>
      <c r="C283" s="4">
        <f>'CLIENT ENROLLMENT DISCHARGE '!C283</f>
        <v>0</v>
      </c>
      <c r="D283" s="51"/>
      <c r="E283" s="52"/>
      <c r="F283" s="51"/>
      <c r="G283" s="52"/>
      <c r="H283" s="62"/>
      <c r="I283" s="115"/>
      <c r="J283" s="9"/>
      <c r="K283" s="70"/>
      <c r="L283" s="52"/>
      <c r="M283" s="8"/>
      <c r="N283" s="7"/>
      <c r="O283" s="218">
        <f t="shared" si="9"/>
        <v>0</v>
      </c>
      <c r="P283" s="218">
        <f>O283+OCT!P283</f>
        <v>0</v>
      </c>
      <c r="Q283" s="59"/>
      <c r="R283" s="51"/>
      <c r="S283" s="65"/>
      <c r="T283" s="64"/>
      <c r="U283" s="67"/>
      <c r="V283" s="74"/>
      <c r="W283" s="6">
        <f>'CLIENT ENROLLMENT DISCHARGE '!M283</f>
        <v>0</v>
      </c>
      <c r="X283" s="76"/>
      <c r="Y283" s="180"/>
    </row>
    <row r="284" spans="1:25" ht="50.1" customHeight="1" x14ac:dyDescent="0.25">
      <c r="A284" s="5">
        <f t="shared" si="8"/>
        <v>270</v>
      </c>
      <c r="B284" s="10">
        <f>'CLIENT ENROLLMENT DISCHARGE '!B284</f>
        <v>0</v>
      </c>
      <c r="C284" s="4">
        <f>'CLIENT ENROLLMENT DISCHARGE '!C284</f>
        <v>0</v>
      </c>
      <c r="D284" s="52"/>
      <c r="E284" s="53"/>
      <c r="F284" s="52"/>
      <c r="G284" s="53"/>
      <c r="H284" s="63"/>
      <c r="I284" s="116"/>
      <c r="J284" s="3"/>
      <c r="K284" s="71"/>
      <c r="L284" s="53"/>
      <c r="M284" s="2"/>
      <c r="N284" s="1"/>
      <c r="O284" s="218">
        <f t="shared" si="9"/>
        <v>0</v>
      </c>
      <c r="P284" s="218">
        <f>O284+OCT!P284</f>
        <v>0</v>
      </c>
      <c r="Q284" s="60"/>
      <c r="R284" s="52"/>
      <c r="S284" s="66"/>
      <c r="T284" s="65"/>
      <c r="U284" s="68"/>
      <c r="V284" s="59"/>
      <c r="W284" s="6">
        <f>'CLIENT ENROLLMENT DISCHARGE '!M284</f>
        <v>0</v>
      </c>
      <c r="X284" s="76"/>
      <c r="Y284" s="180"/>
    </row>
    <row r="285" spans="1:25" ht="50.1" customHeight="1" x14ac:dyDescent="0.25">
      <c r="A285" s="5">
        <f t="shared" si="8"/>
        <v>271</v>
      </c>
      <c r="B285" s="10">
        <f>'CLIENT ENROLLMENT DISCHARGE '!B285</f>
        <v>0</v>
      </c>
      <c r="C285" s="4">
        <f>'CLIENT ENROLLMENT DISCHARGE '!C285</f>
        <v>0</v>
      </c>
      <c r="D285" s="51"/>
      <c r="E285" s="52"/>
      <c r="F285" s="51"/>
      <c r="G285" s="52"/>
      <c r="H285" s="62"/>
      <c r="I285" s="115"/>
      <c r="J285" s="9"/>
      <c r="K285" s="70"/>
      <c r="L285" s="52"/>
      <c r="M285" s="8"/>
      <c r="N285" s="7"/>
      <c r="O285" s="218">
        <f t="shared" si="9"/>
        <v>0</v>
      </c>
      <c r="P285" s="218">
        <f>O285+OCT!P285</f>
        <v>0</v>
      </c>
      <c r="Q285" s="59"/>
      <c r="R285" s="51"/>
      <c r="S285" s="65"/>
      <c r="T285" s="64"/>
      <c r="U285" s="67"/>
      <c r="V285" s="74"/>
      <c r="W285" s="6">
        <f>'CLIENT ENROLLMENT DISCHARGE '!M285</f>
        <v>0</v>
      </c>
      <c r="X285" s="76"/>
      <c r="Y285" s="180"/>
    </row>
    <row r="286" spans="1:25" ht="50.1" customHeight="1" x14ac:dyDescent="0.25">
      <c r="A286" s="5">
        <f t="shared" si="8"/>
        <v>272</v>
      </c>
      <c r="B286" s="10">
        <f>'CLIENT ENROLLMENT DISCHARGE '!B286</f>
        <v>0</v>
      </c>
      <c r="C286" s="4">
        <f>'CLIENT ENROLLMENT DISCHARGE '!C286</f>
        <v>0</v>
      </c>
      <c r="D286" s="52"/>
      <c r="E286" s="53"/>
      <c r="F286" s="52"/>
      <c r="G286" s="53"/>
      <c r="H286" s="63"/>
      <c r="I286" s="116"/>
      <c r="J286" s="3"/>
      <c r="K286" s="71"/>
      <c r="L286" s="53"/>
      <c r="M286" s="2"/>
      <c r="N286" s="1"/>
      <c r="O286" s="218">
        <f t="shared" si="9"/>
        <v>0</v>
      </c>
      <c r="P286" s="218">
        <f>O286+OCT!P286</f>
        <v>0</v>
      </c>
      <c r="Q286" s="60"/>
      <c r="R286" s="52"/>
      <c r="S286" s="66"/>
      <c r="T286" s="65"/>
      <c r="U286" s="68"/>
      <c r="V286" s="59"/>
      <c r="W286" s="6">
        <f>'CLIENT ENROLLMENT DISCHARGE '!M286</f>
        <v>0</v>
      </c>
      <c r="X286" s="76"/>
      <c r="Y286" s="180"/>
    </row>
    <row r="287" spans="1:25" ht="50.1" customHeight="1" x14ac:dyDescent="0.25">
      <c r="A287" s="5">
        <f t="shared" si="8"/>
        <v>273</v>
      </c>
      <c r="B287" s="10">
        <f>'CLIENT ENROLLMENT DISCHARGE '!B287</f>
        <v>0</v>
      </c>
      <c r="C287" s="4">
        <f>'CLIENT ENROLLMENT DISCHARGE '!C287</f>
        <v>0</v>
      </c>
      <c r="D287" s="51"/>
      <c r="E287" s="52"/>
      <c r="F287" s="51"/>
      <c r="G287" s="52"/>
      <c r="H287" s="62"/>
      <c r="I287" s="115"/>
      <c r="J287" s="9"/>
      <c r="K287" s="70"/>
      <c r="L287" s="52"/>
      <c r="M287" s="8"/>
      <c r="N287" s="7"/>
      <c r="O287" s="218">
        <f t="shared" si="9"/>
        <v>0</v>
      </c>
      <c r="P287" s="218">
        <f>O287+OCT!P287</f>
        <v>0</v>
      </c>
      <c r="Q287" s="59"/>
      <c r="R287" s="51"/>
      <c r="S287" s="65"/>
      <c r="T287" s="64"/>
      <c r="U287" s="67"/>
      <c r="V287" s="74"/>
      <c r="W287" s="6">
        <f>'CLIENT ENROLLMENT DISCHARGE '!M287</f>
        <v>0</v>
      </c>
      <c r="X287" s="76"/>
      <c r="Y287" s="180"/>
    </row>
    <row r="288" spans="1:25" ht="50.1" customHeight="1" x14ac:dyDescent="0.25">
      <c r="A288" s="5">
        <f t="shared" si="8"/>
        <v>274</v>
      </c>
      <c r="B288" s="10">
        <f>'CLIENT ENROLLMENT DISCHARGE '!B288</f>
        <v>0</v>
      </c>
      <c r="C288" s="4">
        <f>'CLIENT ENROLLMENT DISCHARGE '!C288</f>
        <v>0</v>
      </c>
      <c r="D288" s="52"/>
      <c r="E288" s="53"/>
      <c r="F288" s="52"/>
      <c r="G288" s="53"/>
      <c r="H288" s="63"/>
      <c r="I288" s="116"/>
      <c r="J288" s="3"/>
      <c r="K288" s="71"/>
      <c r="L288" s="53"/>
      <c r="M288" s="2"/>
      <c r="N288" s="1"/>
      <c r="O288" s="218">
        <f t="shared" si="9"/>
        <v>0</v>
      </c>
      <c r="P288" s="218">
        <f>O288+OCT!P288</f>
        <v>0</v>
      </c>
      <c r="Q288" s="60"/>
      <c r="R288" s="52"/>
      <c r="S288" s="66"/>
      <c r="T288" s="65"/>
      <c r="U288" s="68"/>
      <c r="V288" s="59"/>
      <c r="W288" s="6">
        <f>'CLIENT ENROLLMENT DISCHARGE '!M288</f>
        <v>0</v>
      </c>
      <c r="X288" s="76"/>
      <c r="Y288" s="180"/>
    </row>
    <row r="289" spans="1:25" ht="50.1" customHeight="1" x14ac:dyDescent="0.25">
      <c r="A289" s="5">
        <f t="shared" si="8"/>
        <v>275</v>
      </c>
      <c r="B289" s="10">
        <f>'CLIENT ENROLLMENT DISCHARGE '!B289</f>
        <v>0</v>
      </c>
      <c r="C289" s="4">
        <f>'CLIENT ENROLLMENT DISCHARGE '!C289</f>
        <v>0</v>
      </c>
      <c r="D289" s="51"/>
      <c r="E289" s="52"/>
      <c r="F289" s="51"/>
      <c r="G289" s="52"/>
      <c r="H289" s="62"/>
      <c r="I289" s="115"/>
      <c r="J289" s="9"/>
      <c r="K289" s="70"/>
      <c r="L289" s="52"/>
      <c r="M289" s="8"/>
      <c r="N289" s="7"/>
      <c r="O289" s="218">
        <f t="shared" si="9"/>
        <v>0</v>
      </c>
      <c r="P289" s="218">
        <f>O289+OCT!P289</f>
        <v>0</v>
      </c>
      <c r="Q289" s="59"/>
      <c r="R289" s="51"/>
      <c r="S289" s="65"/>
      <c r="T289" s="64"/>
      <c r="U289" s="67"/>
      <c r="V289" s="74"/>
      <c r="W289" s="6">
        <f>'CLIENT ENROLLMENT DISCHARGE '!M289</f>
        <v>0</v>
      </c>
      <c r="X289" s="76"/>
      <c r="Y289" s="180"/>
    </row>
    <row r="290" spans="1:25" ht="50.1" customHeight="1" x14ac:dyDescent="0.25">
      <c r="A290" s="5">
        <f t="shared" si="8"/>
        <v>276</v>
      </c>
      <c r="B290" s="10">
        <f>'CLIENT ENROLLMENT DISCHARGE '!B290</f>
        <v>0</v>
      </c>
      <c r="C290" s="4">
        <f>'CLIENT ENROLLMENT DISCHARGE '!C290</f>
        <v>0</v>
      </c>
      <c r="D290" s="52"/>
      <c r="E290" s="53"/>
      <c r="F290" s="52"/>
      <c r="G290" s="53"/>
      <c r="H290" s="63"/>
      <c r="I290" s="116"/>
      <c r="J290" s="3"/>
      <c r="K290" s="71"/>
      <c r="L290" s="53"/>
      <c r="M290" s="2"/>
      <c r="N290" s="1"/>
      <c r="O290" s="218">
        <f t="shared" si="9"/>
        <v>0</v>
      </c>
      <c r="P290" s="218">
        <f>O290+OCT!P290</f>
        <v>0</v>
      </c>
      <c r="Q290" s="60"/>
      <c r="R290" s="52"/>
      <c r="S290" s="66"/>
      <c r="T290" s="65"/>
      <c r="U290" s="68"/>
      <c r="V290" s="75"/>
      <c r="W290" s="6">
        <f>'CLIENT ENROLLMENT DISCHARGE '!M290</f>
        <v>0</v>
      </c>
      <c r="X290" s="76"/>
      <c r="Y290" s="180"/>
    </row>
    <row r="291" spans="1:25" ht="50.1" customHeight="1" x14ac:dyDescent="0.25">
      <c r="A291" s="5">
        <f t="shared" si="8"/>
        <v>277</v>
      </c>
      <c r="B291" s="10">
        <f>'CLIENT ENROLLMENT DISCHARGE '!B291</f>
        <v>0</v>
      </c>
      <c r="C291" s="4">
        <f>'CLIENT ENROLLMENT DISCHARGE '!C291</f>
        <v>0</v>
      </c>
      <c r="D291" s="51"/>
      <c r="E291" s="52"/>
      <c r="F291" s="51"/>
      <c r="G291" s="52"/>
      <c r="H291" s="62"/>
      <c r="I291" s="115"/>
      <c r="J291" s="9"/>
      <c r="K291" s="70"/>
      <c r="L291" s="52"/>
      <c r="M291" s="8"/>
      <c r="N291" s="7"/>
      <c r="O291" s="218">
        <f t="shared" si="9"/>
        <v>0</v>
      </c>
      <c r="P291" s="218">
        <f>O291+OCT!P291</f>
        <v>0</v>
      </c>
      <c r="Q291" s="59"/>
      <c r="R291" s="51"/>
      <c r="S291" s="65"/>
      <c r="T291" s="64"/>
      <c r="U291" s="67"/>
      <c r="V291" s="74"/>
      <c r="W291" s="6">
        <f>'CLIENT ENROLLMENT DISCHARGE '!M291</f>
        <v>0</v>
      </c>
      <c r="X291" s="76"/>
      <c r="Y291" s="180"/>
    </row>
    <row r="292" spans="1:25" ht="50.1" customHeight="1" x14ac:dyDescent="0.25">
      <c r="A292" s="5">
        <f t="shared" si="8"/>
        <v>278</v>
      </c>
      <c r="B292" s="10">
        <f>'CLIENT ENROLLMENT DISCHARGE '!B292</f>
        <v>0</v>
      </c>
      <c r="C292" s="4">
        <f>'CLIENT ENROLLMENT DISCHARGE '!C292</f>
        <v>0</v>
      </c>
      <c r="D292" s="52"/>
      <c r="E292" s="53"/>
      <c r="F292" s="52"/>
      <c r="G292" s="53"/>
      <c r="H292" s="63"/>
      <c r="I292" s="116"/>
      <c r="J292" s="3"/>
      <c r="K292" s="71"/>
      <c r="L292" s="53"/>
      <c r="M292" s="2"/>
      <c r="N292" s="1"/>
      <c r="O292" s="218">
        <f t="shared" si="9"/>
        <v>0</v>
      </c>
      <c r="P292" s="218">
        <f>O292+OCT!P292</f>
        <v>0</v>
      </c>
      <c r="Q292" s="60"/>
      <c r="R292" s="52"/>
      <c r="S292" s="66"/>
      <c r="T292" s="65"/>
      <c r="U292" s="68"/>
      <c r="V292" s="59"/>
      <c r="W292" s="6">
        <f>'CLIENT ENROLLMENT DISCHARGE '!M292</f>
        <v>0</v>
      </c>
      <c r="X292" s="76"/>
      <c r="Y292" s="180"/>
    </row>
    <row r="293" spans="1:25" ht="50.1" customHeight="1" x14ac:dyDescent="0.25">
      <c r="A293" s="5">
        <f t="shared" si="8"/>
        <v>279</v>
      </c>
      <c r="B293" s="10">
        <f>'CLIENT ENROLLMENT DISCHARGE '!B293</f>
        <v>0</v>
      </c>
      <c r="C293" s="4">
        <f>'CLIENT ENROLLMENT DISCHARGE '!C293</f>
        <v>0</v>
      </c>
      <c r="D293" s="51"/>
      <c r="E293" s="52"/>
      <c r="F293" s="51"/>
      <c r="G293" s="52"/>
      <c r="H293" s="62"/>
      <c r="I293" s="115"/>
      <c r="J293" s="9"/>
      <c r="K293" s="70"/>
      <c r="L293" s="52"/>
      <c r="M293" s="8"/>
      <c r="N293" s="7"/>
      <c r="O293" s="218">
        <f t="shared" si="9"/>
        <v>0</v>
      </c>
      <c r="P293" s="218">
        <f>O293+OCT!P293</f>
        <v>0</v>
      </c>
      <c r="Q293" s="59"/>
      <c r="R293" s="51"/>
      <c r="S293" s="65"/>
      <c r="T293" s="64"/>
      <c r="U293" s="67"/>
      <c r="V293" s="74"/>
      <c r="W293" s="6">
        <f>'CLIENT ENROLLMENT DISCHARGE '!M293</f>
        <v>0</v>
      </c>
      <c r="X293" s="76"/>
      <c r="Y293" s="180"/>
    </row>
    <row r="294" spans="1:25" ht="50.1" customHeight="1" x14ac:dyDescent="0.25">
      <c r="A294" s="5">
        <f t="shared" si="8"/>
        <v>280</v>
      </c>
      <c r="B294" s="10">
        <f>'CLIENT ENROLLMENT DISCHARGE '!B294</f>
        <v>0</v>
      </c>
      <c r="C294" s="4">
        <f>'CLIENT ENROLLMENT DISCHARGE '!C294</f>
        <v>0</v>
      </c>
      <c r="D294" s="52"/>
      <c r="E294" s="53"/>
      <c r="F294" s="52"/>
      <c r="G294" s="53"/>
      <c r="H294" s="63"/>
      <c r="I294" s="116"/>
      <c r="J294" s="3"/>
      <c r="K294" s="71"/>
      <c r="L294" s="53"/>
      <c r="M294" s="2"/>
      <c r="N294" s="1"/>
      <c r="O294" s="218">
        <f t="shared" si="9"/>
        <v>0</v>
      </c>
      <c r="P294" s="218">
        <f>O294+OCT!P294</f>
        <v>0</v>
      </c>
      <c r="Q294" s="60"/>
      <c r="R294" s="52"/>
      <c r="S294" s="66"/>
      <c r="T294" s="65"/>
      <c r="U294" s="68"/>
      <c r="V294" s="59"/>
      <c r="W294" s="6">
        <f>'CLIENT ENROLLMENT DISCHARGE '!M294</f>
        <v>0</v>
      </c>
      <c r="X294" s="76"/>
      <c r="Y294" s="180"/>
    </row>
    <row r="295" spans="1:25" ht="50.1" customHeight="1" x14ac:dyDescent="0.25">
      <c r="A295" s="5">
        <f t="shared" si="8"/>
        <v>281</v>
      </c>
      <c r="B295" s="10">
        <f>'CLIENT ENROLLMENT DISCHARGE '!B295</f>
        <v>0</v>
      </c>
      <c r="C295" s="4">
        <f>'CLIENT ENROLLMENT DISCHARGE '!C295</f>
        <v>0</v>
      </c>
      <c r="D295" s="51"/>
      <c r="E295" s="52"/>
      <c r="F295" s="51"/>
      <c r="G295" s="52"/>
      <c r="H295" s="62"/>
      <c r="I295" s="115"/>
      <c r="J295" s="9"/>
      <c r="K295" s="70"/>
      <c r="L295" s="52"/>
      <c r="M295" s="8"/>
      <c r="N295" s="7"/>
      <c r="O295" s="218">
        <f t="shared" si="9"/>
        <v>0</v>
      </c>
      <c r="P295" s="218">
        <f>O295+OCT!P295</f>
        <v>0</v>
      </c>
      <c r="Q295" s="59"/>
      <c r="R295" s="51"/>
      <c r="S295" s="65"/>
      <c r="T295" s="64"/>
      <c r="U295" s="67"/>
      <c r="V295" s="74"/>
      <c r="W295" s="6">
        <f>'CLIENT ENROLLMENT DISCHARGE '!M295</f>
        <v>0</v>
      </c>
      <c r="X295" s="76"/>
      <c r="Y295" s="180"/>
    </row>
    <row r="296" spans="1:25" ht="50.1" customHeight="1" x14ac:dyDescent="0.25">
      <c r="A296" s="5">
        <f t="shared" si="8"/>
        <v>282</v>
      </c>
      <c r="B296" s="10">
        <f>'CLIENT ENROLLMENT DISCHARGE '!B296</f>
        <v>0</v>
      </c>
      <c r="C296" s="4">
        <f>'CLIENT ENROLLMENT DISCHARGE '!C296</f>
        <v>0</v>
      </c>
      <c r="D296" s="52"/>
      <c r="E296" s="53"/>
      <c r="F296" s="52"/>
      <c r="G296" s="53"/>
      <c r="H296" s="63"/>
      <c r="I296" s="116"/>
      <c r="J296" s="3"/>
      <c r="K296" s="71"/>
      <c r="L296" s="53"/>
      <c r="M296" s="2"/>
      <c r="N296" s="1"/>
      <c r="O296" s="218">
        <f t="shared" si="9"/>
        <v>0</v>
      </c>
      <c r="P296" s="218">
        <f>O296+OCT!P296</f>
        <v>0</v>
      </c>
      <c r="Q296" s="60"/>
      <c r="R296" s="52"/>
      <c r="S296" s="66"/>
      <c r="T296" s="65"/>
      <c r="U296" s="68"/>
      <c r="V296" s="59"/>
      <c r="W296" s="6">
        <f>'CLIENT ENROLLMENT DISCHARGE '!M296</f>
        <v>0</v>
      </c>
      <c r="X296" s="76"/>
      <c r="Y296" s="180"/>
    </row>
    <row r="297" spans="1:25" ht="50.1" customHeight="1" x14ac:dyDescent="0.25">
      <c r="A297" s="5">
        <f t="shared" si="8"/>
        <v>283</v>
      </c>
      <c r="B297" s="10">
        <f>'CLIENT ENROLLMENT DISCHARGE '!B297</f>
        <v>0</v>
      </c>
      <c r="C297" s="4">
        <f>'CLIENT ENROLLMENT DISCHARGE '!C297</f>
        <v>0</v>
      </c>
      <c r="D297" s="51"/>
      <c r="E297" s="52"/>
      <c r="F297" s="51"/>
      <c r="G297" s="52"/>
      <c r="H297" s="62"/>
      <c r="I297" s="115"/>
      <c r="J297" s="9"/>
      <c r="K297" s="70"/>
      <c r="L297" s="52"/>
      <c r="M297" s="8"/>
      <c r="N297" s="7"/>
      <c r="O297" s="218">
        <f t="shared" si="9"/>
        <v>0</v>
      </c>
      <c r="P297" s="218">
        <f>O297+OCT!P297</f>
        <v>0</v>
      </c>
      <c r="Q297" s="59"/>
      <c r="R297" s="51"/>
      <c r="S297" s="65"/>
      <c r="T297" s="64"/>
      <c r="U297" s="67"/>
      <c r="V297" s="74"/>
      <c r="W297" s="6">
        <f>'CLIENT ENROLLMENT DISCHARGE '!M297</f>
        <v>0</v>
      </c>
      <c r="X297" s="76"/>
      <c r="Y297" s="180"/>
    </row>
    <row r="298" spans="1:25" ht="50.1" customHeight="1" x14ac:dyDescent="0.25">
      <c r="A298" s="5">
        <f t="shared" si="8"/>
        <v>284</v>
      </c>
      <c r="B298" s="10">
        <f>'CLIENT ENROLLMENT DISCHARGE '!B298</f>
        <v>0</v>
      </c>
      <c r="C298" s="4">
        <f>'CLIENT ENROLLMENT DISCHARGE '!C298</f>
        <v>0</v>
      </c>
      <c r="D298" s="52"/>
      <c r="E298" s="53"/>
      <c r="F298" s="52"/>
      <c r="G298" s="53"/>
      <c r="H298" s="63"/>
      <c r="I298" s="116"/>
      <c r="J298" s="3"/>
      <c r="K298" s="71"/>
      <c r="L298" s="53"/>
      <c r="M298" s="2"/>
      <c r="N298" s="1"/>
      <c r="O298" s="218">
        <f t="shared" si="9"/>
        <v>0</v>
      </c>
      <c r="P298" s="218">
        <f>O298+OCT!P298</f>
        <v>0</v>
      </c>
      <c r="Q298" s="60"/>
      <c r="R298" s="52"/>
      <c r="S298" s="66"/>
      <c r="T298" s="65"/>
      <c r="U298" s="68"/>
      <c r="V298" s="59"/>
      <c r="W298" s="6">
        <f>'CLIENT ENROLLMENT DISCHARGE '!M298</f>
        <v>0</v>
      </c>
      <c r="X298" s="76"/>
      <c r="Y298" s="180"/>
    </row>
    <row r="299" spans="1:25" ht="50.1" customHeight="1" x14ac:dyDescent="0.25">
      <c r="A299" s="5">
        <f t="shared" si="8"/>
        <v>285</v>
      </c>
      <c r="B299" s="10">
        <f>'CLIENT ENROLLMENT DISCHARGE '!B299</f>
        <v>0</v>
      </c>
      <c r="C299" s="4">
        <f>'CLIENT ENROLLMENT DISCHARGE '!C299</f>
        <v>0</v>
      </c>
      <c r="D299" s="51"/>
      <c r="E299" s="52"/>
      <c r="F299" s="51"/>
      <c r="G299" s="52"/>
      <c r="H299" s="62"/>
      <c r="I299" s="115"/>
      <c r="J299" s="9"/>
      <c r="K299" s="70"/>
      <c r="L299" s="52"/>
      <c r="M299" s="8"/>
      <c r="N299" s="7"/>
      <c r="O299" s="218">
        <f t="shared" si="9"/>
        <v>0</v>
      </c>
      <c r="P299" s="218">
        <f>O299+OCT!P299</f>
        <v>0</v>
      </c>
      <c r="Q299" s="59"/>
      <c r="R299" s="51"/>
      <c r="S299" s="65"/>
      <c r="T299" s="64"/>
      <c r="U299" s="67"/>
      <c r="V299" s="74"/>
      <c r="W299" s="6">
        <f>'CLIENT ENROLLMENT DISCHARGE '!M299</f>
        <v>0</v>
      </c>
      <c r="X299" s="76"/>
      <c r="Y299" s="180"/>
    </row>
    <row r="300" spans="1:25" ht="50.1" customHeight="1" x14ac:dyDescent="0.25">
      <c r="A300" s="5">
        <f t="shared" si="8"/>
        <v>286</v>
      </c>
      <c r="B300" s="10">
        <f>'CLIENT ENROLLMENT DISCHARGE '!B300</f>
        <v>0</v>
      </c>
      <c r="C300" s="4">
        <f>'CLIENT ENROLLMENT DISCHARGE '!C300</f>
        <v>0</v>
      </c>
      <c r="D300" s="52"/>
      <c r="E300" s="53"/>
      <c r="F300" s="52"/>
      <c r="G300" s="53"/>
      <c r="H300" s="63"/>
      <c r="I300" s="116"/>
      <c r="J300" s="3"/>
      <c r="K300" s="71"/>
      <c r="L300" s="53"/>
      <c r="M300" s="2"/>
      <c r="N300" s="1"/>
      <c r="O300" s="218">
        <f t="shared" si="9"/>
        <v>0</v>
      </c>
      <c r="P300" s="218">
        <f>O300+OCT!P300</f>
        <v>0</v>
      </c>
      <c r="Q300" s="60"/>
      <c r="R300" s="52"/>
      <c r="S300" s="66"/>
      <c r="T300" s="65"/>
      <c r="U300" s="68"/>
      <c r="V300" s="75"/>
      <c r="W300" s="6">
        <f>'CLIENT ENROLLMENT DISCHARGE '!M300</f>
        <v>0</v>
      </c>
      <c r="X300" s="76"/>
      <c r="Y300" s="180"/>
    </row>
    <row r="301" spans="1:25" ht="50.1" customHeight="1" x14ac:dyDescent="0.25">
      <c r="A301" s="5">
        <f t="shared" si="8"/>
        <v>287</v>
      </c>
      <c r="B301" s="10">
        <f>'CLIENT ENROLLMENT DISCHARGE '!B301</f>
        <v>0</v>
      </c>
      <c r="C301" s="4">
        <f>'CLIENT ENROLLMENT DISCHARGE '!C301</f>
        <v>0</v>
      </c>
      <c r="D301" s="51"/>
      <c r="E301" s="52"/>
      <c r="F301" s="51"/>
      <c r="G301" s="52"/>
      <c r="H301" s="62"/>
      <c r="I301" s="115"/>
      <c r="J301" s="9"/>
      <c r="K301" s="70"/>
      <c r="L301" s="52"/>
      <c r="M301" s="8"/>
      <c r="N301" s="7"/>
      <c r="O301" s="218">
        <f t="shared" si="9"/>
        <v>0</v>
      </c>
      <c r="P301" s="218">
        <f>O301+OCT!P301</f>
        <v>0</v>
      </c>
      <c r="Q301" s="59"/>
      <c r="R301" s="51"/>
      <c r="S301" s="65"/>
      <c r="T301" s="64"/>
      <c r="U301" s="67"/>
      <c r="V301" s="74"/>
      <c r="W301" s="6">
        <f>'CLIENT ENROLLMENT DISCHARGE '!M301</f>
        <v>0</v>
      </c>
      <c r="X301" s="76"/>
      <c r="Y301" s="180"/>
    </row>
    <row r="302" spans="1:25" ht="50.1" customHeight="1" x14ac:dyDescent="0.25">
      <c r="A302" s="5">
        <f t="shared" si="8"/>
        <v>288</v>
      </c>
      <c r="B302" s="10">
        <f>'CLIENT ENROLLMENT DISCHARGE '!B302</f>
        <v>0</v>
      </c>
      <c r="C302" s="4">
        <f>'CLIENT ENROLLMENT DISCHARGE '!C302</f>
        <v>0</v>
      </c>
      <c r="D302" s="52"/>
      <c r="E302" s="53"/>
      <c r="F302" s="52"/>
      <c r="G302" s="53"/>
      <c r="H302" s="63"/>
      <c r="I302" s="116"/>
      <c r="J302" s="3"/>
      <c r="K302" s="71"/>
      <c r="L302" s="53"/>
      <c r="M302" s="2"/>
      <c r="N302" s="1"/>
      <c r="O302" s="218">
        <f t="shared" si="9"/>
        <v>0</v>
      </c>
      <c r="P302" s="218">
        <f>O302+OCT!P302</f>
        <v>0</v>
      </c>
      <c r="Q302" s="60"/>
      <c r="R302" s="52"/>
      <c r="S302" s="66"/>
      <c r="T302" s="65"/>
      <c r="U302" s="68"/>
      <c r="V302" s="59"/>
      <c r="W302" s="6">
        <f>'CLIENT ENROLLMENT DISCHARGE '!M302</f>
        <v>0</v>
      </c>
      <c r="X302" s="76"/>
      <c r="Y302" s="180"/>
    </row>
    <row r="303" spans="1:25" ht="50.1" customHeight="1" x14ac:dyDescent="0.25">
      <c r="A303" s="5">
        <f t="shared" si="8"/>
        <v>289</v>
      </c>
      <c r="B303" s="10">
        <f>'CLIENT ENROLLMENT DISCHARGE '!B303</f>
        <v>0</v>
      </c>
      <c r="C303" s="4">
        <f>'CLIENT ENROLLMENT DISCHARGE '!C303</f>
        <v>0</v>
      </c>
      <c r="D303" s="51"/>
      <c r="E303" s="52"/>
      <c r="F303" s="51"/>
      <c r="G303" s="52"/>
      <c r="H303" s="62"/>
      <c r="I303" s="115"/>
      <c r="J303" s="9"/>
      <c r="K303" s="70"/>
      <c r="L303" s="52"/>
      <c r="M303" s="8"/>
      <c r="N303" s="7"/>
      <c r="O303" s="218">
        <f t="shared" si="9"/>
        <v>0</v>
      </c>
      <c r="P303" s="218">
        <f>O303+OCT!P303</f>
        <v>0</v>
      </c>
      <c r="Q303" s="59"/>
      <c r="R303" s="51"/>
      <c r="S303" s="65"/>
      <c r="T303" s="64"/>
      <c r="U303" s="67"/>
      <c r="V303" s="74"/>
      <c r="W303" s="6">
        <f>'CLIENT ENROLLMENT DISCHARGE '!M303</f>
        <v>0</v>
      </c>
      <c r="X303" s="76"/>
      <c r="Y303" s="180"/>
    </row>
    <row r="304" spans="1:25" ht="50.1" customHeight="1" x14ac:dyDescent="0.25">
      <c r="A304" s="5">
        <f t="shared" si="8"/>
        <v>290</v>
      </c>
      <c r="B304" s="10">
        <f>'CLIENT ENROLLMENT DISCHARGE '!B304</f>
        <v>0</v>
      </c>
      <c r="C304" s="4">
        <f>'CLIENT ENROLLMENT DISCHARGE '!C304</f>
        <v>0</v>
      </c>
      <c r="D304" s="52"/>
      <c r="E304" s="53"/>
      <c r="F304" s="52"/>
      <c r="G304" s="53"/>
      <c r="H304" s="63"/>
      <c r="I304" s="116"/>
      <c r="J304" s="3"/>
      <c r="K304" s="71"/>
      <c r="L304" s="53"/>
      <c r="M304" s="2"/>
      <c r="N304" s="1"/>
      <c r="O304" s="218">
        <f t="shared" si="9"/>
        <v>0</v>
      </c>
      <c r="P304" s="218">
        <f>O304+OCT!P304</f>
        <v>0</v>
      </c>
      <c r="Q304" s="60"/>
      <c r="R304" s="52"/>
      <c r="S304" s="66"/>
      <c r="T304" s="65"/>
      <c r="U304" s="68"/>
      <c r="V304" s="59"/>
      <c r="W304" s="6">
        <f>'CLIENT ENROLLMENT DISCHARGE '!M304</f>
        <v>0</v>
      </c>
      <c r="X304" s="76"/>
      <c r="Y304" s="180"/>
    </row>
    <row r="305" spans="1:25" ht="50.1" customHeight="1" x14ac:dyDescent="0.25">
      <c r="A305" s="5">
        <f t="shared" si="8"/>
        <v>291</v>
      </c>
      <c r="B305" s="10">
        <f>'CLIENT ENROLLMENT DISCHARGE '!B305</f>
        <v>0</v>
      </c>
      <c r="C305" s="4">
        <f>'CLIENT ENROLLMENT DISCHARGE '!C305</f>
        <v>0</v>
      </c>
      <c r="D305" s="51"/>
      <c r="E305" s="52"/>
      <c r="F305" s="51"/>
      <c r="G305" s="52"/>
      <c r="H305" s="62"/>
      <c r="I305" s="115"/>
      <c r="J305" s="9"/>
      <c r="K305" s="70"/>
      <c r="L305" s="52"/>
      <c r="M305" s="8"/>
      <c r="N305" s="7"/>
      <c r="O305" s="218">
        <f t="shared" si="9"/>
        <v>0</v>
      </c>
      <c r="P305" s="218">
        <f>O305+OCT!P305</f>
        <v>0</v>
      </c>
      <c r="Q305" s="59"/>
      <c r="R305" s="51"/>
      <c r="S305" s="65"/>
      <c r="T305" s="64"/>
      <c r="U305" s="67"/>
      <c r="V305" s="74"/>
      <c r="W305" s="6">
        <f>'CLIENT ENROLLMENT DISCHARGE '!M305</f>
        <v>0</v>
      </c>
      <c r="X305" s="76"/>
      <c r="Y305" s="180"/>
    </row>
    <row r="306" spans="1:25" ht="50.1" customHeight="1" x14ac:dyDescent="0.25">
      <c r="A306" s="5">
        <f t="shared" si="8"/>
        <v>292</v>
      </c>
      <c r="B306" s="10">
        <f>'CLIENT ENROLLMENT DISCHARGE '!B306</f>
        <v>0</v>
      </c>
      <c r="C306" s="4">
        <f>'CLIENT ENROLLMENT DISCHARGE '!C306</f>
        <v>0</v>
      </c>
      <c r="D306" s="52"/>
      <c r="E306" s="53"/>
      <c r="F306" s="52"/>
      <c r="G306" s="53"/>
      <c r="H306" s="63"/>
      <c r="I306" s="116"/>
      <c r="J306" s="3"/>
      <c r="K306" s="71"/>
      <c r="L306" s="53"/>
      <c r="M306" s="2"/>
      <c r="N306" s="1"/>
      <c r="O306" s="218">
        <f t="shared" si="9"/>
        <v>0</v>
      </c>
      <c r="P306" s="218">
        <f>O306+OCT!P306</f>
        <v>0</v>
      </c>
      <c r="Q306" s="60"/>
      <c r="R306" s="52"/>
      <c r="S306" s="66"/>
      <c r="T306" s="65"/>
      <c r="U306" s="68"/>
      <c r="V306" s="59"/>
      <c r="W306" s="6">
        <f>'CLIENT ENROLLMENT DISCHARGE '!M306</f>
        <v>0</v>
      </c>
      <c r="X306" s="76"/>
      <c r="Y306" s="180"/>
    </row>
    <row r="307" spans="1:25" ht="50.1" customHeight="1" x14ac:dyDescent="0.25">
      <c r="A307" s="5">
        <f t="shared" si="8"/>
        <v>293</v>
      </c>
      <c r="B307" s="10">
        <f>'CLIENT ENROLLMENT DISCHARGE '!B307</f>
        <v>0</v>
      </c>
      <c r="C307" s="4">
        <f>'CLIENT ENROLLMENT DISCHARGE '!C307</f>
        <v>0</v>
      </c>
      <c r="D307" s="51"/>
      <c r="E307" s="52"/>
      <c r="F307" s="51"/>
      <c r="G307" s="52"/>
      <c r="H307" s="62"/>
      <c r="I307" s="115"/>
      <c r="J307" s="9"/>
      <c r="K307" s="70"/>
      <c r="L307" s="52"/>
      <c r="M307" s="8"/>
      <c r="N307" s="7"/>
      <c r="O307" s="218">
        <f t="shared" si="9"/>
        <v>0</v>
      </c>
      <c r="P307" s="218">
        <f>O307+OCT!P307</f>
        <v>0</v>
      </c>
      <c r="Q307" s="59"/>
      <c r="R307" s="51"/>
      <c r="S307" s="65"/>
      <c r="T307" s="64"/>
      <c r="U307" s="67"/>
      <c r="V307" s="74"/>
      <c r="W307" s="6">
        <f>'CLIENT ENROLLMENT DISCHARGE '!M307</f>
        <v>0</v>
      </c>
      <c r="X307" s="76"/>
      <c r="Y307" s="180"/>
    </row>
    <row r="308" spans="1:25" ht="50.1" customHeight="1" x14ac:dyDescent="0.25">
      <c r="A308" s="5">
        <f t="shared" si="8"/>
        <v>294</v>
      </c>
      <c r="B308" s="10">
        <f>'CLIENT ENROLLMENT DISCHARGE '!B308</f>
        <v>0</v>
      </c>
      <c r="C308" s="4">
        <f>'CLIENT ENROLLMENT DISCHARGE '!C308</f>
        <v>0</v>
      </c>
      <c r="D308" s="52"/>
      <c r="E308" s="53"/>
      <c r="F308" s="52"/>
      <c r="G308" s="53"/>
      <c r="H308" s="63"/>
      <c r="I308" s="116"/>
      <c r="J308" s="3"/>
      <c r="K308" s="71"/>
      <c r="L308" s="53"/>
      <c r="M308" s="2"/>
      <c r="N308" s="1"/>
      <c r="O308" s="218">
        <f t="shared" si="9"/>
        <v>0</v>
      </c>
      <c r="P308" s="218">
        <f>O308+OCT!P308</f>
        <v>0</v>
      </c>
      <c r="Q308" s="60"/>
      <c r="R308" s="52"/>
      <c r="S308" s="66"/>
      <c r="T308" s="65"/>
      <c r="U308" s="68"/>
      <c r="V308" s="59"/>
      <c r="W308" s="6">
        <f>'CLIENT ENROLLMENT DISCHARGE '!M308</f>
        <v>0</v>
      </c>
      <c r="X308" s="76"/>
      <c r="Y308" s="180"/>
    </row>
    <row r="309" spans="1:25" ht="50.1" customHeight="1" x14ac:dyDescent="0.25">
      <c r="A309" s="5">
        <f t="shared" si="8"/>
        <v>295</v>
      </c>
      <c r="B309" s="10">
        <f>'CLIENT ENROLLMENT DISCHARGE '!B309</f>
        <v>0</v>
      </c>
      <c r="C309" s="4">
        <f>'CLIENT ENROLLMENT DISCHARGE '!C309</f>
        <v>0</v>
      </c>
      <c r="D309" s="51"/>
      <c r="E309" s="52"/>
      <c r="F309" s="51"/>
      <c r="G309" s="52"/>
      <c r="H309" s="62"/>
      <c r="I309" s="115"/>
      <c r="J309" s="9"/>
      <c r="K309" s="70"/>
      <c r="L309" s="52"/>
      <c r="M309" s="8"/>
      <c r="N309" s="7"/>
      <c r="O309" s="218">
        <f t="shared" si="9"/>
        <v>0</v>
      </c>
      <c r="P309" s="218">
        <f>O309+OCT!P309</f>
        <v>0</v>
      </c>
      <c r="Q309" s="59"/>
      <c r="R309" s="51"/>
      <c r="S309" s="65"/>
      <c r="T309" s="64"/>
      <c r="U309" s="67"/>
      <c r="V309" s="74"/>
      <c r="W309" s="6">
        <f>'CLIENT ENROLLMENT DISCHARGE '!M309</f>
        <v>0</v>
      </c>
      <c r="X309" s="76"/>
      <c r="Y309" s="180"/>
    </row>
    <row r="310" spans="1:25" ht="50.1" customHeight="1" x14ac:dyDescent="0.25">
      <c r="A310" s="5">
        <f t="shared" si="8"/>
        <v>296</v>
      </c>
      <c r="B310" s="10">
        <f>'CLIENT ENROLLMENT DISCHARGE '!B310</f>
        <v>0</v>
      </c>
      <c r="C310" s="4">
        <f>'CLIENT ENROLLMENT DISCHARGE '!C310</f>
        <v>0</v>
      </c>
      <c r="D310" s="52"/>
      <c r="E310" s="53"/>
      <c r="F310" s="52"/>
      <c r="G310" s="53"/>
      <c r="H310" s="63"/>
      <c r="I310" s="116"/>
      <c r="J310" s="3"/>
      <c r="K310" s="71"/>
      <c r="L310" s="53"/>
      <c r="M310" s="2"/>
      <c r="N310" s="1"/>
      <c r="O310" s="218">
        <f t="shared" si="9"/>
        <v>0</v>
      </c>
      <c r="P310" s="218">
        <f>O310+OCT!P310</f>
        <v>0</v>
      </c>
      <c r="Q310" s="60"/>
      <c r="R310" s="52"/>
      <c r="S310" s="66"/>
      <c r="T310" s="65"/>
      <c r="U310" s="68"/>
      <c r="V310" s="75"/>
      <c r="W310" s="6">
        <f>'CLIENT ENROLLMENT DISCHARGE '!M310</f>
        <v>0</v>
      </c>
      <c r="X310" s="76"/>
      <c r="Y310" s="180"/>
    </row>
    <row r="311" spans="1:25" ht="50.1" customHeight="1" x14ac:dyDescent="0.25">
      <c r="A311" s="5">
        <f t="shared" si="8"/>
        <v>297</v>
      </c>
      <c r="B311" s="10">
        <f>'CLIENT ENROLLMENT DISCHARGE '!B311</f>
        <v>0</v>
      </c>
      <c r="C311" s="4">
        <f>'CLIENT ENROLLMENT DISCHARGE '!C311</f>
        <v>0</v>
      </c>
      <c r="D311" s="51"/>
      <c r="E311" s="52"/>
      <c r="F311" s="51"/>
      <c r="G311" s="52"/>
      <c r="H311" s="62"/>
      <c r="I311" s="115"/>
      <c r="J311" s="9"/>
      <c r="K311" s="70"/>
      <c r="L311" s="52"/>
      <c r="M311" s="8"/>
      <c r="N311" s="7"/>
      <c r="O311" s="218">
        <f t="shared" si="9"/>
        <v>0</v>
      </c>
      <c r="P311" s="218">
        <f>O311+OCT!P311</f>
        <v>0</v>
      </c>
      <c r="Q311" s="59"/>
      <c r="R311" s="51"/>
      <c r="S311" s="65"/>
      <c r="T311" s="64"/>
      <c r="U311" s="67"/>
      <c r="V311" s="74"/>
      <c r="W311" s="6">
        <f>'CLIENT ENROLLMENT DISCHARGE '!M311</f>
        <v>0</v>
      </c>
      <c r="X311" s="76"/>
      <c r="Y311" s="180"/>
    </row>
    <row r="312" spans="1:25" ht="50.1" customHeight="1" x14ac:dyDescent="0.25">
      <c r="A312" s="5">
        <f t="shared" si="8"/>
        <v>298</v>
      </c>
      <c r="B312" s="10">
        <f>'CLIENT ENROLLMENT DISCHARGE '!B312</f>
        <v>0</v>
      </c>
      <c r="C312" s="4">
        <f>'CLIENT ENROLLMENT DISCHARGE '!C312</f>
        <v>0</v>
      </c>
      <c r="D312" s="52"/>
      <c r="E312" s="53"/>
      <c r="F312" s="52"/>
      <c r="G312" s="53"/>
      <c r="H312" s="63"/>
      <c r="I312" s="116"/>
      <c r="J312" s="3"/>
      <c r="K312" s="71"/>
      <c r="L312" s="53"/>
      <c r="M312" s="2"/>
      <c r="N312" s="1"/>
      <c r="O312" s="218">
        <f t="shared" si="9"/>
        <v>0</v>
      </c>
      <c r="P312" s="218">
        <f>O312+OCT!P312</f>
        <v>0</v>
      </c>
      <c r="Q312" s="60"/>
      <c r="R312" s="52"/>
      <c r="S312" s="66"/>
      <c r="T312" s="65"/>
      <c r="U312" s="68"/>
      <c r="V312" s="59"/>
      <c r="W312" s="6">
        <f>'CLIENT ENROLLMENT DISCHARGE '!M312</f>
        <v>0</v>
      </c>
      <c r="X312" s="76"/>
      <c r="Y312" s="180"/>
    </row>
    <row r="313" spans="1:25" ht="50.1" customHeight="1" x14ac:dyDescent="0.25">
      <c r="A313" s="5">
        <f t="shared" si="8"/>
        <v>299</v>
      </c>
      <c r="B313" s="10">
        <f>'CLIENT ENROLLMENT DISCHARGE '!B313</f>
        <v>0</v>
      </c>
      <c r="C313" s="4">
        <f>'CLIENT ENROLLMENT DISCHARGE '!C313</f>
        <v>0</v>
      </c>
      <c r="D313" s="51"/>
      <c r="E313" s="52"/>
      <c r="F313" s="51"/>
      <c r="G313" s="52"/>
      <c r="H313" s="62"/>
      <c r="I313" s="115"/>
      <c r="J313" s="9"/>
      <c r="K313" s="70"/>
      <c r="L313" s="52"/>
      <c r="M313" s="8"/>
      <c r="N313" s="7"/>
      <c r="O313" s="218">
        <f t="shared" si="9"/>
        <v>0</v>
      </c>
      <c r="P313" s="218">
        <f>O313+OCT!P313</f>
        <v>0</v>
      </c>
      <c r="Q313" s="59"/>
      <c r="R313" s="51"/>
      <c r="S313" s="65"/>
      <c r="T313" s="64"/>
      <c r="U313" s="67"/>
      <c r="V313" s="74"/>
      <c r="W313" s="6">
        <f>'CLIENT ENROLLMENT DISCHARGE '!M313</f>
        <v>0</v>
      </c>
      <c r="X313" s="76"/>
      <c r="Y313" s="180"/>
    </row>
    <row r="314" spans="1:25" ht="50.1" customHeight="1" x14ac:dyDescent="0.25">
      <c r="A314" s="5">
        <f t="shared" si="8"/>
        <v>300</v>
      </c>
      <c r="B314" s="10">
        <f>'CLIENT ENROLLMENT DISCHARGE '!B314</f>
        <v>0</v>
      </c>
      <c r="C314" s="4">
        <f>'CLIENT ENROLLMENT DISCHARGE '!C314</f>
        <v>0</v>
      </c>
      <c r="D314" s="52"/>
      <c r="E314" s="53"/>
      <c r="F314" s="52"/>
      <c r="G314" s="53"/>
      <c r="H314" s="63"/>
      <c r="I314" s="116"/>
      <c r="J314" s="3"/>
      <c r="K314" s="71"/>
      <c r="L314" s="53"/>
      <c r="M314" s="2"/>
      <c r="N314" s="1"/>
      <c r="O314" s="218">
        <f t="shared" si="9"/>
        <v>0</v>
      </c>
      <c r="P314" s="218">
        <f>O314+OCT!P314</f>
        <v>0</v>
      </c>
      <c r="Q314" s="60"/>
      <c r="R314" s="52"/>
      <c r="S314" s="66"/>
      <c r="T314" s="65"/>
      <c r="U314" s="68"/>
      <c r="V314" s="59"/>
      <c r="W314" s="6">
        <f>'CLIENT ENROLLMENT DISCHARGE '!M314</f>
        <v>0</v>
      </c>
      <c r="X314" s="76"/>
      <c r="Y314" s="180"/>
    </row>
    <row r="315" spans="1:25" ht="50.1" customHeight="1" x14ac:dyDescent="0.25">
      <c r="A315" s="5">
        <f t="shared" si="8"/>
        <v>301</v>
      </c>
      <c r="B315" s="10">
        <f>'CLIENT ENROLLMENT DISCHARGE '!B315</f>
        <v>0</v>
      </c>
      <c r="C315" s="4">
        <f>'CLIENT ENROLLMENT DISCHARGE '!C315</f>
        <v>0</v>
      </c>
      <c r="D315" s="51"/>
      <c r="E315" s="52"/>
      <c r="F315" s="51"/>
      <c r="G315" s="52"/>
      <c r="H315" s="62"/>
      <c r="I315" s="115"/>
      <c r="J315" s="9"/>
      <c r="K315" s="70"/>
      <c r="L315" s="52"/>
      <c r="M315" s="8"/>
      <c r="N315" s="7"/>
      <c r="O315" s="218">
        <f t="shared" si="9"/>
        <v>0</v>
      </c>
      <c r="P315" s="218">
        <f>O315+OCT!P315</f>
        <v>0</v>
      </c>
      <c r="Q315" s="59"/>
      <c r="R315" s="51"/>
      <c r="S315" s="65"/>
      <c r="T315" s="64"/>
      <c r="U315" s="67"/>
      <c r="V315" s="74"/>
      <c r="W315" s="6">
        <f>'CLIENT ENROLLMENT DISCHARGE '!M315</f>
        <v>0</v>
      </c>
      <c r="X315" s="76"/>
      <c r="Y315" s="180"/>
    </row>
    <row r="316" spans="1:25" ht="50.1" customHeight="1" x14ac:dyDescent="0.25">
      <c r="A316" s="5">
        <f t="shared" si="8"/>
        <v>302</v>
      </c>
      <c r="B316" s="10">
        <f>'CLIENT ENROLLMENT DISCHARGE '!B316</f>
        <v>0</v>
      </c>
      <c r="C316" s="4">
        <f>'CLIENT ENROLLMENT DISCHARGE '!C316</f>
        <v>0</v>
      </c>
      <c r="D316" s="52"/>
      <c r="E316" s="53"/>
      <c r="F316" s="52"/>
      <c r="G316" s="53"/>
      <c r="H316" s="63"/>
      <c r="I316" s="116"/>
      <c r="J316" s="3"/>
      <c r="K316" s="71"/>
      <c r="L316" s="53"/>
      <c r="M316" s="2"/>
      <c r="N316" s="1"/>
      <c r="O316" s="218">
        <f t="shared" si="9"/>
        <v>0</v>
      </c>
      <c r="P316" s="218">
        <f>O316+OCT!P316</f>
        <v>0</v>
      </c>
      <c r="Q316" s="60"/>
      <c r="R316" s="52"/>
      <c r="S316" s="66"/>
      <c r="T316" s="65"/>
      <c r="U316" s="68"/>
      <c r="V316" s="59"/>
      <c r="W316" s="6">
        <f>'CLIENT ENROLLMENT DISCHARGE '!M316</f>
        <v>0</v>
      </c>
      <c r="X316" s="76"/>
      <c r="Y316" s="180"/>
    </row>
    <row r="317" spans="1:25" ht="50.1" customHeight="1" x14ac:dyDescent="0.25">
      <c r="A317" s="5">
        <f t="shared" si="8"/>
        <v>303</v>
      </c>
      <c r="B317" s="10">
        <f>'CLIENT ENROLLMENT DISCHARGE '!B317</f>
        <v>0</v>
      </c>
      <c r="C317" s="4">
        <f>'CLIENT ENROLLMENT DISCHARGE '!C317</f>
        <v>0</v>
      </c>
      <c r="D317" s="51"/>
      <c r="E317" s="52"/>
      <c r="F317" s="51"/>
      <c r="G317" s="52"/>
      <c r="H317" s="62"/>
      <c r="I317" s="115"/>
      <c r="J317" s="9"/>
      <c r="K317" s="70"/>
      <c r="L317" s="52"/>
      <c r="M317" s="8"/>
      <c r="N317" s="7"/>
      <c r="O317" s="218">
        <f t="shared" si="9"/>
        <v>0</v>
      </c>
      <c r="P317" s="218">
        <f>O317+OCT!P317</f>
        <v>0</v>
      </c>
      <c r="Q317" s="59"/>
      <c r="R317" s="51"/>
      <c r="S317" s="65"/>
      <c r="T317" s="64"/>
      <c r="U317" s="67"/>
      <c r="V317" s="74"/>
      <c r="W317" s="6">
        <f>'CLIENT ENROLLMENT DISCHARGE '!M317</f>
        <v>0</v>
      </c>
      <c r="X317" s="76"/>
      <c r="Y317" s="180"/>
    </row>
    <row r="318" spans="1:25" ht="50.1" customHeight="1" x14ac:dyDescent="0.25">
      <c r="A318" s="5">
        <f t="shared" si="8"/>
        <v>304</v>
      </c>
      <c r="B318" s="10">
        <f>'CLIENT ENROLLMENT DISCHARGE '!B318</f>
        <v>0</v>
      </c>
      <c r="C318" s="4">
        <f>'CLIENT ENROLLMENT DISCHARGE '!C318</f>
        <v>0</v>
      </c>
      <c r="D318" s="52"/>
      <c r="E318" s="53"/>
      <c r="F318" s="52"/>
      <c r="G318" s="53"/>
      <c r="H318" s="63"/>
      <c r="I318" s="116"/>
      <c r="J318" s="3"/>
      <c r="K318" s="71"/>
      <c r="L318" s="53"/>
      <c r="M318" s="2"/>
      <c r="N318" s="1"/>
      <c r="O318" s="218">
        <f t="shared" si="9"/>
        <v>0</v>
      </c>
      <c r="P318" s="218">
        <f>O318+OCT!P318</f>
        <v>0</v>
      </c>
      <c r="Q318" s="60"/>
      <c r="R318" s="52"/>
      <c r="S318" s="66"/>
      <c r="T318" s="65"/>
      <c r="U318" s="68"/>
      <c r="V318" s="59"/>
      <c r="W318" s="6">
        <f>'CLIENT ENROLLMENT DISCHARGE '!M318</f>
        <v>0</v>
      </c>
      <c r="X318" s="76"/>
      <c r="Y318" s="180"/>
    </row>
    <row r="319" spans="1:25" ht="50.1" customHeight="1" x14ac:dyDescent="0.25">
      <c r="A319" s="5">
        <f t="shared" si="8"/>
        <v>305</v>
      </c>
      <c r="B319" s="10">
        <f>'CLIENT ENROLLMENT DISCHARGE '!B319</f>
        <v>0</v>
      </c>
      <c r="C319" s="4">
        <f>'CLIENT ENROLLMENT DISCHARGE '!C319</f>
        <v>0</v>
      </c>
      <c r="D319" s="51"/>
      <c r="E319" s="52"/>
      <c r="F319" s="51"/>
      <c r="G319" s="52"/>
      <c r="H319" s="62"/>
      <c r="I319" s="115"/>
      <c r="J319" s="9"/>
      <c r="K319" s="70"/>
      <c r="L319" s="52"/>
      <c r="M319" s="8"/>
      <c r="N319" s="7"/>
      <c r="O319" s="218">
        <f t="shared" si="9"/>
        <v>0</v>
      </c>
      <c r="P319" s="218">
        <f>O319+OCT!P319</f>
        <v>0</v>
      </c>
      <c r="Q319" s="59"/>
      <c r="R319" s="51"/>
      <c r="S319" s="65"/>
      <c r="T319" s="64"/>
      <c r="U319" s="67"/>
      <c r="V319" s="74"/>
      <c r="W319" s="6">
        <f>'CLIENT ENROLLMENT DISCHARGE '!M319</f>
        <v>0</v>
      </c>
      <c r="X319" s="76"/>
      <c r="Y319" s="180"/>
    </row>
    <row r="320" spans="1:25" ht="50.1" customHeight="1" x14ac:dyDescent="0.25">
      <c r="A320" s="5">
        <f t="shared" si="8"/>
        <v>306</v>
      </c>
      <c r="B320" s="10">
        <f>'CLIENT ENROLLMENT DISCHARGE '!B320</f>
        <v>0</v>
      </c>
      <c r="C320" s="4">
        <f>'CLIENT ENROLLMENT DISCHARGE '!C320</f>
        <v>0</v>
      </c>
      <c r="D320" s="52"/>
      <c r="E320" s="53"/>
      <c r="F320" s="52"/>
      <c r="G320" s="53"/>
      <c r="H320" s="63"/>
      <c r="I320" s="116"/>
      <c r="J320" s="3"/>
      <c r="K320" s="71"/>
      <c r="L320" s="53"/>
      <c r="M320" s="2"/>
      <c r="N320" s="1"/>
      <c r="O320" s="218">
        <f t="shared" si="9"/>
        <v>0</v>
      </c>
      <c r="P320" s="218">
        <f>O320+OCT!P320</f>
        <v>0</v>
      </c>
      <c r="Q320" s="60"/>
      <c r="R320" s="52"/>
      <c r="S320" s="66"/>
      <c r="T320" s="65"/>
      <c r="U320" s="68"/>
      <c r="V320" s="75"/>
      <c r="W320" s="6">
        <f>'CLIENT ENROLLMENT DISCHARGE '!M320</f>
        <v>0</v>
      </c>
      <c r="X320" s="76"/>
      <c r="Y320" s="180"/>
    </row>
    <row r="321" spans="1:25" ht="50.1" customHeight="1" x14ac:dyDescent="0.25">
      <c r="A321" s="5">
        <f t="shared" si="8"/>
        <v>307</v>
      </c>
      <c r="B321" s="10">
        <f>'CLIENT ENROLLMENT DISCHARGE '!B321</f>
        <v>0</v>
      </c>
      <c r="C321" s="4">
        <f>'CLIENT ENROLLMENT DISCHARGE '!C321</f>
        <v>0</v>
      </c>
      <c r="D321" s="51"/>
      <c r="E321" s="52"/>
      <c r="F321" s="51"/>
      <c r="G321" s="52"/>
      <c r="H321" s="62"/>
      <c r="I321" s="115"/>
      <c r="J321" s="9"/>
      <c r="K321" s="70"/>
      <c r="L321" s="52"/>
      <c r="M321" s="8"/>
      <c r="N321" s="7"/>
      <c r="O321" s="218">
        <f t="shared" si="9"/>
        <v>0</v>
      </c>
      <c r="P321" s="218">
        <f>O321+OCT!P321</f>
        <v>0</v>
      </c>
      <c r="Q321" s="59"/>
      <c r="R321" s="51"/>
      <c r="S321" s="65"/>
      <c r="T321" s="64"/>
      <c r="U321" s="67"/>
      <c r="V321" s="74"/>
      <c r="W321" s="6">
        <f>'CLIENT ENROLLMENT DISCHARGE '!M321</f>
        <v>0</v>
      </c>
      <c r="X321" s="76"/>
      <c r="Y321" s="180"/>
    </row>
    <row r="322" spans="1:25" ht="50.1" customHeight="1" x14ac:dyDescent="0.25">
      <c r="A322" s="5">
        <f t="shared" si="8"/>
        <v>308</v>
      </c>
      <c r="B322" s="10">
        <f>'CLIENT ENROLLMENT DISCHARGE '!B322</f>
        <v>0</v>
      </c>
      <c r="C322" s="4">
        <f>'CLIENT ENROLLMENT DISCHARGE '!C322</f>
        <v>0</v>
      </c>
      <c r="D322" s="52"/>
      <c r="E322" s="53"/>
      <c r="F322" s="52"/>
      <c r="G322" s="53"/>
      <c r="H322" s="63"/>
      <c r="I322" s="116"/>
      <c r="J322" s="3"/>
      <c r="K322" s="71"/>
      <c r="L322" s="53"/>
      <c r="M322" s="2"/>
      <c r="N322" s="1"/>
      <c r="O322" s="218">
        <f t="shared" si="9"/>
        <v>0</v>
      </c>
      <c r="P322" s="218">
        <f>O322+OCT!P322</f>
        <v>0</v>
      </c>
      <c r="Q322" s="60"/>
      <c r="R322" s="52"/>
      <c r="S322" s="66"/>
      <c r="T322" s="65"/>
      <c r="U322" s="68"/>
      <c r="V322" s="59"/>
      <c r="W322" s="6">
        <f>'CLIENT ENROLLMENT DISCHARGE '!M322</f>
        <v>0</v>
      </c>
      <c r="X322" s="76"/>
      <c r="Y322" s="180"/>
    </row>
    <row r="323" spans="1:25" ht="50.1" customHeight="1" x14ac:dyDescent="0.25">
      <c r="A323" s="5">
        <f t="shared" si="8"/>
        <v>309</v>
      </c>
      <c r="B323" s="10">
        <f>'CLIENT ENROLLMENT DISCHARGE '!B323</f>
        <v>0</v>
      </c>
      <c r="C323" s="4">
        <f>'CLIENT ENROLLMENT DISCHARGE '!C323</f>
        <v>0</v>
      </c>
      <c r="D323" s="51"/>
      <c r="E323" s="52"/>
      <c r="F323" s="51"/>
      <c r="G323" s="52"/>
      <c r="H323" s="62"/>
      <c r="I323" s="115"/>
      <c r="J323" s="9"/>
      <c r="K323" s="70"/>
      <c r="L323" s="52"/>
      <c r="M323" s="8"/>
      <c r="N323" s="7"/>
      <c r="O323" s="218">
        <f t="shared" si="9"/>
        <v>0</v>
      </c>
      <c r="P323" s="218">
        <f>O323+OCT!P323</f>
        <v>0</v>
      </c>
      <c r="Q323" s="59"/>
      <c r="R323" s="51"/>
      <c r="S323" s="65"/>
      <c r="T323" s="64"/>
      <c r="U323" s="67"/>
      <c r="V323" s="74"/>
      <c r="W323" s="6">
        <f>'CLIENT ENROLLMENT DISCHARGE '!M323</f>
        <v>0</v>
      </c>
      <c r="X323" s="76"/>
      <c r="Y323" s="180"/>
    </row>
    <row r="324" spans="1:25" ht="50.1" customHeight="1" x14ac:dyDescent="0.25">
      <c r="A324" s="5">
        <f t="shared" si="8"/>
        <v>310</v>
      </c>
      <c r="B324" s="10">
        <f>'CLIENT ENROLLMENT DISCHARGE '!B324</f>
        <v>0</v>
      </c>
      <c r="C324" s="4">
        <f>'CLIENT ENROLLMENT DISCHARGE '!C324</f>
        <v>0</v>
      </c>
      <c r="D324" s="52"/>
      <c r="E324" s="53"/>
      <c r="F324" s="52"/>
      <c r="G324" s="53"/>
      <c r="H324" s="63"/>
      <c r="I324" s="116"/>
      <c r="J324" s="3"/>
      <c r="K324" s="71"/>
      <c r="L324" s="53"/>
      <c r="M324" s="2"/>
      <c r="N324" s="1"/>
      <c r="O324" s="218">
        <f t="shared" si="9"/>
        <v>0</v>
      </c>
      <c r="P324" s="218">
        <f>O324+OCT!P324</f>
        <v>0</v>
      </c>
      <c r="Q324" s="60"/>
      <c r="R324" s="52"/>
      <c r="S324" s="66"/>
      <c r="T324" s="65"/>
      <c r="U324" s="68"/>
      <c r="V324" s="59"/>
      <c r="W324" s="6">
        <f>'CLIENT ENROLLMENT DISCHARGE '!M324</f>
        <v>0</v>
      </c>
      <c r="X324" s="76"/>
      <c r="Y324" s="180"/>
    </row>
    <row r="325" spans="1:25" ht="50.1" customHeight="1" x14ac:dyDescent="0.25">
      <c r="A325" s="5">
        <f t="shared" si="8"/>
        <v>311</v>
      </c>
      <c r="B325" s="10">
        <f>'CLIENT ENROLLMENT DISCHARGE '!B325</f>
        <v>0</v>
      </c>
      <c r="C325" s="4">
        <f>'CLIENT ENROLLMENT DISCHARGE '!C325</f>
        <v>0</v>
      </c>
      <c r="D325" s="51"/>
      <c r="E325" s="52"/>
      <c r="F325" s="51"/>
      <c r="G325" s="52"/>
      <c r="H325" s="62"/>
      <c r="I325" s="115"/>
      <c r="J325" s="9"/>
      <c r="K325" s="70"/>
      <c r="L325" s="52"/>
      <c r="M325" s="8"/>
      <c r="N325" s="7"/>
      <c r="O325" s="218">
        <f t="shared" si="9"/>
        <v>0</v>
      </c>
      <c r="P325" s="218">
        <f>O325+OCT!P325</f>
        <v>0</v>
      </c>
      <c r="Q325" s="59"/>
      <c r="R325" s="51"/>
      <c r="S325" s="65"/>
      <c r="T325" s="64"/>
      <c r="U325" s="67"/>
      <c r="V325" s="74"/>
      <c r="W325" s="6">
        <f>'CLIENT ENROLLMENT DISCHARGE '!M325</f>
        <v>0</v>
      </c>
      <c r="X325" s="76"/>
      <c r="Y325" s="180"/>
    </row>
    <row r="326" spans="1:25" ht="50.1" customHeight="1" x14ac:dyDescent="0.25">
      <c r="A326" s="5">
        <f t="shared" si="8"/>
        <v>312</v>
      </c>
      <c r="B326" s="10">
        <f>'CLIENT ENROLLMENT DISCHARGE '!B326</f>
        <v>0</v>
      </c>
      <c r="C326" s="4">
        <f>'CLIENT ENROLLMENT DISCHARGE '!C326</f>
        <v>0</v>
      </c>
      <c r="D326" s="52"/>
      <c r="E326" s="53"/>
      <c r="F326" s="52"/>
      <c r="G326" s="53"/>
      <c r="H326" s="63"/>
      <c r="I326" s="116"/>
      <c r="J326" s="3"/>
      <c r="K326" s="71"/>
      <c r="L326" s="53"/>
      <c r="M326" s="2"/>
      <c r="N326" s="1"/>
      <c r="O326" s="218">
        <f t="shared" si="9"/>
        <v>0</v>
      </c>
      <c r="P326" s="218">
        <f>O326+OCT!P326</f>
        <v>0</v>
      </c>
      <c r="Q326" s="60"/>
      <c r="R326" s="52"/>
      <c r="S326" s="66"/>
      <c r="T326" s="65"/>
      <c r="U326" s="68"/>
      <c r="V326" s="59"/>
      <c r="W326" s="6">
        <f>'CLIENT ENROLLMENT DISCHARGE '!M326</f>
        <v>0</v>
      </c>
      <c r="X326" s="76"/>
      <c r="Y326" s="180"/>
    </row>
    <row r="327" spans="1:25" ht="50.1" customHeight="1" x14ac:dyDescent="0.25">
      <c r="A327" s="5">
        <f t="shared" si="8"/>
        <v>313</v>
      </c>
      <c r="B327" s="10">
        <f>'CLIENT ENROLLMENT DISCHARGE '!B327</f>
        <v>0</v>
      </c>
      <c r="C327" s="4">
        <f>'CLIENT ENROLLMENT DISCHARGE '!C327</f>
        <v>0</v>
      </c>
      <c r="D327" s="51"/>
      <c r="E327" s="52"/>
      <c r="F327" s="51"/>
      <c r="G327" s="52"/>
      <c r="H327" s="62"/>
      <c r="I327" s="115"/>
      <c r="J327" s="9"/>
      <c r="K327" s="70"/>
      <c r="L327" s="52"/>
      <c r="M327" s="8"/>
      <c r="N327" s="7"/>
      <c r="O327" s="218">
        <f t="shared" si="9"/>
        <v>0</v>
      </c>
      <c r="P327" s="218">
        <f>O327+OCT!P327</f>
        <v>0</v>
      </c>
      <c r="Q327" s="59"/>
      <c r="R327" s="51"/>
      <c r="S327" s="65"/>
      <c r="T327" s="64"/>
      <c r="U327" s="67"/>
      <c r="V327" s="74"/>
      <c r="W327" s="6">
        <f>'CLIENT ENROLLMENT DISCHARGE '!M327</f>
        <v>0</v>
      </c>
      <c r="X327" s="76"/>
      <c r="Y327" s="180"/>
    </row>
    <row r="328" spans="1:25" ht="50.1" customHeight="1" x14ac:dyDescent="0.25">
      <c r="A328" s="5">
        <f t="shared" si="8"/>
        <v>314</v>
      </c>
      <c r="B328" s="10">
        <f>'CLIENT ENROLLMENT DISCHARGE '!B328</f>
        <v>0</v>
      </c>
      <c r="C328" s="4">
        <f>'CLIENT ENROLLMENT DISCHARGE '!C328</f>
        <v>0</v>
      </c>
      <c r="D328" s="52"/>
      <c r="E328" s="53"/>
      <c r="F328" s="52"/>
      <c r="G328" s="53"/>
      <c r="H328" s="63"/>
      <c r="I328" s="116"/>
      <c r="J328" s="3"/>
      <c r="K328" s="71"/>
      <c r="L328" s="53"/>
      <c r="M328" s="2"/>
      <c r="N328" s="1"/>
      <c r="O328" s="218">
        <f t="shared" si="9"/>
        <v>0</v>
      </c>
      <c r="P328" s="218">
        <f>O328+OCT!P328</f>
        <v>0</v>
      </c>
      <c r="Q328" s="60"/>
      <c r="R328" s="52"/>
      <c r="S328" s="66"/>
      <c r="T328" s="65"/>
      <c r="U328" s="68"/>
      <c r="V328" s="59"/>
      <c r="W328" s="6">
        <f>'CLIENT ENROLLMENT DISCHARGE '!M328</f>
        <v>0</v>
      </c>
      <c r="X328" s="76"/>
      <c r="Y328" s="180"/>
    </row>
    <row r="329" spans="1:25" ht="50.1" customHeight="1" x14ac:dyDescent="0.25">
      <c r="A329" s="5">
        <f t="shared" si="8"/>
        <v>315</v>
      </c>
      <c r="B329" s="10">
        <f>'CLIENT ENROLLMENT DISCHARGE '!B329</f>
        <v>0</v>
      </c>
      <c r="C329" s="4">
        <f>'CLIENT ENROLLMENT DISCHARGE '!C329</f>
        <v>0</v>
      </c>
      <c r="D329" s="51"/>
      <c r="E329" s="52"/>
      <c r="F329" s="51"/>
      <c r="G329" s="52"/>
      <c r="H329" s="62"/>
      <c r="I329" s="115"/>
      <c r="J329" s="9"/>
      <c r="K329" s="70"/>
      <c r="L329" s="52"/>
      <c r="M329" s="8"/>
      <c r="N329" s="7"/>
      <c r="O329" s="218">
        <f t="shared" si="9"/>
        <v>0</v>
      </c>
      <c r="P329" s="218">
        <f>O329+OCT!P329</f>
        <v>0</v>
      </c>
      <c r="Q329" s="59"/>
      <c r="R329" s="51"/>
      <c r="S329" s="65"/>
      <c r="T329" s="64"/>
      <c r="U329" s="67"/>
      <c r="V329" s="74"/>
      <c r="W329" s="6">
        <f>'CLIENT ENROLLMENT DISCHARGE '!M329</f>
        <v>0</v>
      </c>
      <c r="X329" s="76"/>
      <c r="Y329" s="180"/>
    </row>
    <row r="330" spans="1:25" ht="50.1" customHeight="1" x14ac:dyDescent="0.25">
      <c r="A330" s="5">
        <f t="shared" si="8"/>
        <v>316</v>
      </c>
      <c r="B330" s="10">
        <f>'CLIENT ENROLLMENT DISCHARGE '!B330</f>
        <v>0</v>
      </c>
      <c r="C330" s="4">
        <f>'CLIENT ENROLLMENT DISCHARGE '!C330</f>
        <v>0</v>
      </c>
      <c r="D330" s="52"/>
      <c r="E330" s="53"/>
      <c r="F330" s="52"/>
      <c r="G330" s="53"/>
      <c r="H330" s="63"/>
      <c r="I330" s="116"/>
      <c r="J330" s="3"/>
      <c r="K330" s="71"/>
      <c r="L330" s="53"/>
      <c r="M330" s="2"/>
      <c r="N330" s="1"/>
      <c r="O330" s="218">
        <f t="shared" si="9"/>
        <v>0</v>
      </c>
      <c r="P330" s="218">
        <f>O330+OCT!P330</f>
        <v>0</v>
      </c>
      <c r="Q330" s="60"/>
      <c r="R330" s="52"/>
      <c r="S330" s="66"/>
      <c r="T330" s="65"/>
      <c r="U330" s="68"/>
      <c r="V330" s="75"/>
      <c r="W330" s="6">
        <f>'CLIENT ENROLLMENT DISCHARGE '!M330</f>
        <v>0</v>
      </c>
      <c r="X330" s="76"/>
      <c r="Y330" s="180"/>
    </row>
    <row r="331" spans="1:25" ht="50.1" customHeight="1" x14ac:dyDescent="0.25">
      <c r="A331" s="5">
        <f t="shared" si="8"/>
        <v>317</v>
      </c>
      <c r="B331" s="10">
        <f>'CLIENT ENROLLMENT DISCHARGE '!B331</f>
        <v>0</v>
      </c>
      <c r="C331" s="4">
        <f>'CLIENT ENROLLMENT DISCHARGE '!C331</f>
        <v>0</v>
      </c>
      <c r="D331" s="51"/>
      <c r="E331" s="52"/>
      <c r="F331" s="51"/>
      <c r="G331" s="52"/>
      <c r="H331" s="62"/>
      <c r="I331" s="115"/>
      <c r="J331" s="9"/>
      <c r="K331" s="70"/>
      <c r="L331" s="52"/>
      <c r="M331" s="8"/>
      <c r="N331" s="7"/>
      <c r="O331" s="218">
        <f t="shared" si="9"/>
        <v>0</v>
      </c>
      <c r="P331" s="218">
        <f>O331+OCT!P331</f>
        <v>0</v>
      </c>
      <c r="Q331" s="59"/>
      <c r="R331" s="51"/>
      <c r="S331" s="65"/>
      <c r="T331" s="64"/>
      <c r="U331" s="67"/>
      <c r="V331" s="74"/>
      <c r="W331" s="6">
        <f>'CLIENT ENROLLMENT DISCHARGE '!M331</f>
        <v>0</v>
      </c>
      <c r="X331" s="76"/>
      <c r="Y331" s="180"/>
    </row>
    <row r="332" spans="1:25" ht="50.1" customHeight="1" x14ac:dyDescent="0.25">
      <c r="A332" s="5">
        <f t="shared" si="8"/>
        <v>318</v>
      </c>
      <c r="B332" s="10">
        <f>'CLIENT ENROLLMENT DISCHARGE '!B332</f>
        <v>0</v>
      </c>
      <c r="C332" s="4">
        <f>'CLIENT ENROLLMENT DISCHARGE '!C332</f>
        <v>0</v>
      </c>
      <c r="D332" s="52"/>
      <c r="E332" s="53"/>
      <c r="F332" s="52"/>
      <c r="G332" s="53"/>
      <c r="H332" s="63"/>
      <c r="I332" s="116"/>
      <c r="J332" s="3"/>
      <c r="K332" s="71"/>
      <c r="L332" s="53"/>
      <c r="M332" s="2"/>
      <c r="N332" s="1"/>
      <c r="O332" s="218">
        <f t="shared" si="9"/>
        <v>0</v>
      </c>
      <c r="P332" s="218">
        <f>O332+OCT!P332</f>
        <v>0</v>
      </c>
      <c r="Q332" s="60"/>
      <c r="R332" s="52"/>
      <c r="S332" s="66"/>
      <c r="T332" s="65"/>
      <c r="U332" s="68"/>
      <c r="V332" s="59"/>
      <c r="W332" s="6">
        <f>'CLIENT ENROLLMENT DISCHARGE '!M332</f>
        <v>0</v>
      </c>
      <c r="X332" s="76"/>
      <c r="Y332" s="180"/>
    </row>
    <row r="333" spans="1:25" ht="50.1" customHeight="1" x14ac:dyDescent="0.25">
      <c r="A333" s="5">
        <f t="shared" si="8"/>
        <v>319</v>
      </c>
      <c r="B333" s="10">
        <f>'CLIENT ENROLLMENT DISCHARGE '!B333</f>
        <v>0</v>
      </c>
      <c r="C333" s="4">
        <f>'CLIENT ENROLLMENT DISCHARGE '!C333</f>
        <v>0</v>
      </c>
      <c r="D333" s="51"/>
      <c r="E333" s="52"/>
      <c r="F333" s="51"/>
      <c r="G333" s="52"/>
      <c r="H333" s="62"/>
      <c r="I333" s="115"/>
      <c r="J333" s="9"/>
      <c r="K333" s="70"/>
      <c r="L333" s="52"/>
      <c r="M333" s="8"/>
      <c r="N333" s="7"/>
      <c r="O333" s="218">
        <f t="shared" si="9"/>
        <v>0</v>
      </c>
      <c r="P333" s="218">
        <f>O333+OCT!P333</f>
        <v>0</v>
      </c>
      <c r="Q333" s="59"/>
      <c r="R333" s="51"/>
      <c r="S333" s="65"/>
      <c r="T333" s="64"/>
      <c r="U333" s="67"/>
      <c r="V333" s="74"/>
      <c r="W333" s="6">
        <f>'CLIENT ENROLLMENT DISCHARGE '!M333</f>
        <v>0</v>
      </c>
      <c r="X333" s="76"/>
      <c r="Y333" s="180"/>
    </row>
    <row r="334" spans="1:25" ht="50.1" customHeight="1" x14ac:dyDescent="0.25">
      <c r="A334" s="5">
        <f t="shared" si="8"/>
        <v>320</v>
      </c>
      <c r="B334" s="10">
        <f>'CLIENT ENROLLMENT DISCHARGE '!B334</f>
        <v>0</v>
      </c>
      <c r="C334" s="4">
        <f>'CLIENT ENROLLMENT DISCHARGE '!C334</f>
        <v>0</v>
      </c>
      <c r="D334" s="52"/>
      <c r="E334" s="53"/>
      <c r="F334" s="52"/>
      <c r="G334" s="53"/>
      <c r="H334" s="63"/>
      <c r="I334" s="116"/>
      <c r="J334" s="3"/>
      <c r="K334" s="71"/>
      <c r="L334" s="53"/>
      <c r="M334" s="2"/>
      <c r="N334" s="1"/>
      <c r="O334" s="218">
        <f t="shared" si="9"/>
        <v>0</v>
      </c>
      <c r="P334" s="218">
        <f>O334+OCT!P334</f>
        <v>0</v>
      </c>
      <c r="Q334" s="60"/>
      <c r="R334" s="52"/>
      <c r="S334" s="66"/>
      <c r="T334" s="65"/>
      <c r="U334" s="68"/>
      <c r="V334" s="59"/>
      <c r="W334" s="6">
        <f>'CLIENT ENROLLMENT DISCHARGE '!M334</f>
        <v>0</v>
      </c>
      <c r="X334" s="76"/>
      <c r="Y334" s="180"/>
    </row>
    <row r="335" spans="1:25" ht="50.1" customHeight="1" x14ac:dyDescent="0.25">
      <c r="A335" s="5">
        <f t="shared" si="8"/>
        <v>321</v>
      </c>
      <c r="B335" s="10">
        <f>'CLIENT ENROLLMENT DISCHARGE '!B335</f>
        <v>0</v>
      </c>
      <c r="C335" s="4">
        <f>'CLIENT ENROLLMENT DISCHARGE '!C335</f>
        <v>0</v>
      </c>
      <c r="D335" s="51"/>
      <c r="E335" s="52"/>
      <c r="F335" s="51"/>
      <c r="G335" s="52"/>
      <c r="H335" s="62"/>
      <c r="I335" s="115"/>
      <c r="J335" s="9"/>
      <c r="K335" s="70"/>
      <c r="L335" s="52"/>
      <c r="M335" s="8"/>
      <c r="N335" s="7"/>
      <c r="O335" s="218">
        <f t="shared" si="9"/>
        <v>0</v>
      </c>
      <c r="P335" s="218">
        <f>O335+OCT!P335</f>
        <v>0</v>
      </c>
      <c r="Q335" s="59"/>
      <c r="R335" s="51"/>
      <c r="S335" s="65"/>
      <c r="T335" s="64"/>
      <c r="U335" s="67"/>
      <c r="V335" s="74"/>
      <c r="W335" s="6">
        <f>'CLIENT ENROLLMENT DISCHARGE '!M335</f>
        <v>0</v>
      </c>
      <c r="X335" s="76"/>
      <c r="Y335" s="180"/>
    </row>
    <row r="336" spans="1:25" ht="50.1" customHeight="1" x14ac:dyDescent="0.25">
      <c r="A336" s="5">
        <f t="shared" ref="A336:A399" si="10">ROW(A322)</f>
        <v>322</v>
      </c>
      <c r="B336" s="10">
        <f>'CLIENT ENROLLMENT DISCHARGE '!B336</f>
        <v>0</v>
      </c>
      <c r="C336" s="4">
        <f>'CLIENT ENROLLMENT DISCHARGE '!C336</f>
        <v>0</v>
      </c>
      <c r="D336" s="52"/>
      <c r="E336" s="53"/>
      <c r="F336" s="52"/>
      <c r="G336" s="53"/>
      <c r="H336" s="63"/>
      <c r="I336" s="116"/>
      <c r="J336" s="3"/>
      <c r="K336" s="71"/>
      <c r="L336" s="53"/>
      <c r="M336" s="2"/>
      <c r="N336" s="1"/>
      <c r="O336" s="218">
        <f t="shared" ref="O336:O399" si="11">K336*N336</f>
        <v>0</v>
      </c>
      <c r="P336" s="218">
        <f>O336+OCT!P336</f>
        <v>0</v>
      </c>
      <c r="Q336" s="60"/>
      <c r="R336" s="52"/>
      <c r="S336" s="66"/>
      <c r="T336" s="65"/>
      <c r="U336" s="68"/>
      <c r="V336" s="59"/>
      <c r="W336" s="6">
        <f>'CLIENT ENROLLMENT DISCHARGE '!M336</f>
        <v>0</v>
      </c>
      <c r="X336" s="76"/>
      <c r="Y336" s="180"/>
    </row>
    <row r="337" spans="1:25" ht="50.1" customHeight="1" x14ac:dyDescent="0.25">
      <c r="A337" s="5">
        <f t="shared" si="10"/>
        <v>323</v>
      </c>
      <c r="B337" s="10">
        <f>'CLIENT ENROLLMENT DISCHARGE '!B337</f>
        <v>0</v>
      </c>
      <c r="C337" s="4">
        <f>'CLIENT ENROLLMENT DISCHARGE '!C337</f>
        <v>0</v>
      </c>
      <c r="D337" s="51"/>
      <c r="E337" s="52"/>
      <c r="F337" s="51"/>
      <c r="G337" s="52"/>
      <c r="H337" s="62"/>
      <c r="I337" s="115"/>
      <c r="J337" s="9"/>
      <c r="K337" s="70"/>
      <c r="L337" s="52"/>
      <c r="M337" s="8"/>
      <c r="N337" s="7"/>
      <c r="O337" s="218">
        <f t="shared" si="11"/>
        <v>0</v>
      </c>
      <c r="P337" s="218">
        <f>O337+OCT!P337</f>
        <v>0</v>
      </c>
      <c r="Q337" s="59"/>
      <c r="R337" s="51"/>
      <c r="S337" s="65"/>
      <c r="T337" s="64"/>
      <c r="U337" s="67"/>
      <c r="V337" s="74"/>
      <c r="W337" s="6">
        <f>'CLIENT ENROLLMENT DISCHARGE '!M337</f>
        <v>0</v>
      </c>
      <c r="X337" s="76"/>
      <c r="Y337" s="180"/>
    </row>
    <row r="338" spans="1:25" ht="50.1" customHeight="1" x14ac:dyDescent="0.25">
      <c r="A338" s="5">
        <f t="shared" si="10"/>
        <v>324</v>
      </c>
      <c r="B338" s="10">
        <f>'CLIENT ENROLLMENT DISCHARGE '!B338</f>
        <v>0</v>
      </c>
      <c r="C338" s="4">
        <f>'CLIENT ENROLLMENT DISCHARGE '!C338</f>
        <v>0</v>
      </c>
      <c r="D338" s="52"/>
      <c r="E338" s="53"/>
      <c r="F338" s="52"/>
      <c r="G338" s="53"/>
      <c r="H338" s="63"/>
      <c r="I338" s="116"/>
      <c r="J338" s="3"/>
      <c r="K338" s="71"/>
      <c r="L338" s="53"/>
      <c r="M338" s="2"/>
      <c r="N338" s="1"/>
      <c r="O338" s="218">
        <f t="shared" si="11"/>
        <v>0</v>
      </c>
      <c r="P338" s="218">
        <f>O338+OCT!P338</f>
        <v>0</v>
      </c>
      <c r="Q338" s="60"/>
      <c r="R338" s="52"/>
      <c r="S338" s="66"/>
      <c r="T338" s="65"/>
      <c r="U338" s="68"/>
      <c r="V338" s="59"/>
      <c r="W338" s="6">
        <f>'CLIENT ENROLLMENT DISCHARGE '!M338</f>
        <v>0</v>
      </c>
      <c r="X338" s="76"/>
      <c r="Y338" s="180"/>
    </row>
    <row r="339" spans="1:25" ht="50.1" customHeight="1" x14ac:dyDescent="0.25">
      <c r="A339" s="5">
        <f t="shared" si="10"/>
        <v>325</v>
      </c>
      <c r="B339" s="10">
        <f>'CLIENT ENROLLMENT DISCHARGE '!B339</f>
        <v>0</v>
      </c>
      <c r="C339" s="4">
        <f>'CLIENT ENROLLMENT DISCHARGE '!C339</f>
        <v>0</v>
      </c>
      <c r="D339" s="51"/>
      <c r="E339" s="52"/>
      <c r="F339" s="51"/>
      <c r="G339" s="52"/>
      <c r="H339" s="62"/>
      <c r="I339" s="115"/>
      <c r="J339" s="9"/>
      <c r="K339" s="70"/>
      <c r="L339" s="52"/>
      <c r="M339" s="8"/>
      <c r="N339" s="7"/>
      <c r="O339" s="218">
        <f t="shared" si="11"/>
        <v>0</v>
      </c>
      <c r="P339" s="218">
        <f>O339+OCT!P339</f>
        <v>0</v>
      </c>
      <c r="Q339" s="59"/>
      <c r="R339" s="51"/>
      <c r="S339" s="65"/>
      <c r="T339" s="64"/>
      <c r="U339" s="67"/>
      <c r="V339" s="74"/>
      <c r="W339" s="6">
        <f>'CLIENT ENROLLMENT DISCHARGE '!M339</f>
        <v>0</v>
      </c>
      <c r="X339" s="76"/>
      <c r="Y339" s="180"/>
    </row>
    <row r="340" spans="1:25" ht="50.1" customHeight="1" x14ac:dyDescent="0.25">
      <c r="A340" s="5">
        <f t="shared" si="10"/>
        <v>326</v>
      </c>
      <c r="B340" s="10">
        <f>'CLIENT ENROLLMENT DISCHARGE '!B340</f>
        <v>0</v>
      </c>
      <c r="C340" s="4">
        <f>'CLIENT ENROLLMENT DISCHARGE '!C340</f>
        <v>0</v>
      </c>
      <c r="D340" s="52"/>
      <c r="E340" s="53"/>
      <c r="F340" s="52"/>
      <c r="G340" s="53"/>
      <c r="H340" s="63"/>
      <c r="I340" s="116"/>
      <c r="J340" s="3"/>
      <c r="K340" s="71"/>
      <c r="L340" s="53"/>
      <c r="M340" s="2"/>
      <c r="N340" s="1"/>
      <c r="O340" s="218">
        <f t="shared" si="11"/>
        <v>0</v>
      </c>
      <c r="P340" s="218">
        <f>O340+OCT!P340</f>
        <v>0</v>
      </c>
      <c r="Q340" s="60"/>
      <c r="R340" s="52"/>
      <c r="S340" s="66"/>
      <c r="T340" s="65"/>
      <c r="U340" s="68"/>
      <c r="V340" s="75"/>
      <c r="W340" s="6">
        <f>'CLIENT ENROLLMENT DISCHARGE '!M340</f>
        <v>0</v>
      </c>
      <c r="X340" s="76"/>
      <c r="Y340" s="180"/>
    </row>
    <row r="341" spans="1:25" ht="50.1" customHeight="1" x14ac:dyDescent="0.25">
      <c r="A341" s="5">
        <f t="shared" si="10"/>
        <v>327</v>
      </c>
      <c r="B341" s="10">
        <f>'CLIENT ENROLLMENT DISCHARGE '!B341</f>
        <v>0</v>
      </c>
      <c r="C341" s="4">
        <f>'CLIENT ENROLLMENT DISCHARGE '!C341</f>
        <v>0</v>
      </c>
      <c r="D341" s="51"/>
      <c r="E341" s="52"/>
      <c r="F341" s="51"/>
      <c r="G341" s="52"/>
      <c r="H341" s="62"/>
      <c r="I341" s="115"/>
      <c r="J341" s="9"/>
      <c r="K341" s="70"/>
      <c r="L341" s="52"/>
      <c r="M341" s="8"/>
      <c r="N341" s="7"/>
      <c r="O341" s="218">
        <f t="shared" si="11"/>
        <v>0</v>
      </c>
      <c r="P341" s="218">
        <f>O341+OCT!P341</f>
        <v>0</v>
      </c>
      <c r="Q341" s="59"/>
      <c r="R341" s="51"/>
      <c r="S341" s="65"/>
      <c r="T341" s="64"/>
      <c r="U341" s="67"/>
      <c r="V341" s="74"/>
      <c r="W341" s="6">
        <f>'CLIENT ENROLLMENT DISCHARGE '!M341</f>
        <v>0</v>
      </c>
      <c r="X341" s="76"/>
      <c r="Y341" s="180"/>
    </row>
    <row r="342" spans="1:25" ht="50.1" customHeight="1" x14ac:dyDescent="0.25">
      <c r="A342" s="5">
        <f t="shared" si="10"/>
        <v>328</v>
      </c>
      <c r="B342" s="10">
        <f>'CLIENT ENROLLMENT DISCHARGE '!B342</f>
        <v>0</v>
      </c>
      <c r="C342" s="4">
        <f>'CLIENT ENROLLMENT DISCHARGE '!C342</f>
        <v>0</v>
      </c>
      <c r="D342" s="52"/>
      <c r="E342" s="53"/>
      <c r="F342" s="52"/>
      <c r="G342" s="53"/>
      <c r="H342" s="63"/>
      <c r="I342" s="116"/>
      <c r="J342" s="3"/>
      <c r="K342" s="71"/>
      <c r="L342" s="53"/>
      <c r="M342" s="2"/>
      <c r="N342" s="1"/>
      <c r="O342" s="218">
        <f t="shared" si="11"/>
        <v>0</v>
      </c>
      <c r="P342" s="218">
        <f>O342+OCT!P342</f>
        <v>0</v>
      </c>
      <c r="Q342" s="60"/>
      <c r="R342" s="52"/>
      <c r="S342" s="66"/>
      <c r="T342" s="65"/>
      <c r="U342" s="68"/>
      <c r="V342" s="59"/>
      <c r="W342" s="6">
        <f>'CLIENT ENROLLMENT DISCHARGE '!M342</f>
        <v>0</v>
      </c>
      <c r="X342" s="76"/>
      <c r="Y342" s="180"/>
    </row>
    <row r="343" spans="1:25" ht="50.1" customHeight="1" x14ac:dyDescent="0.25">
      <c r="A343" s="5">
        <f t="shared" si="10"/>
        <v>329</v>
      </c>
      <c r="B343" s="10">
        <f>'CLIENT ENROLLMENT DISCHARGE '!B343</f>
        <v>0</v>
      </c>
      <c r="C343" s="4">
        <f>'CLIENT ENROLLMENT DISCHARGE '!C343</f>
        <v>0</v>
      </c>
      <c r="D343" s="51"/>
      <c r="E343" s="52"/>
      <c r="F343" s="51"/>
      <c r="G343" s="52"/>
      <c r="H343" s="62"/>
      <c r="I343" s="115"/>
      <c r="J343" s="9"/>
      <c r="K343" s="70"/>
      <c r="L343" s="52"/>
      <c r="M343" s="8"/>
      <c r="N343" s="7"/>
      <c r="O343" s="218">
        <f t="shared" si="11"/>
        <v>0</v>
      </c>
      <c r="P343" s="218">
        <f>O343+OCT!P343</f>
        <v>0</v>
      </c>
      <c r="Q343" s="59"/>
      <c r="R343" s="51"/>
      <c r="S343" s="65"/>
      <c r="T343" s="64"/>
      <c r="U343" s="67"/>
      <c r="V343" s="74"/>
      <c r="W343" s="6">
        <f>'CLIENT ENROLLMENT DISCHARGE '!M343</f>
        <v>0</v>
      </c>
      <c r="X343" s="76"/>
      <c r="Y343" s="180"/>
    </row>
    <row r="344" spans="1:25" ht="50.1" customHeight="1" x14ac:dyDescent="0.25">
      <c r="A344" s="5">
        <f t="shared" si="10"/>
        <v>330</v>
      </c>
      <c r="B344" s="10">
        <f>'CLIENT ENROLLMENT DISCHARGE '!B344</f>
        <v>0</v>
      </c>
      <c r="C344" s="4">
        <f>'CLIENT ENROLLMENT DISCHARGE '!C344</f>
        <v>0</v>
      </c>
      <c r="D344" s="52"/>
      <c r="E344" s="53"/>
      <c r="F344" s="52"/>
      <c r="G344" s="53"/>
      <c r="H344" s="63"/>
      <c r="I344" s="116"/>
      <c r="J344" s="3"/>
      <c r="K344" s="71"/>
      <c r="L344" s="53"/>
      <c r="M344" s="2"/>
      <c r="N344" s="1"/>
      <c r="O344" s="218">
        <f t="shared" si="11"/>
        <v>0</v>
      </c>
      <c r="P344" s="218">
        <f>O344+OCT!P344</f>
        <v>0</v>
      </c>
      <c r="Q344" s="60"/>
      <c r="R344" s="52"/>
      <c r="S344" s="66"/>
      <c r="T344" s="65"/>
      <c r="U344" s="68"/>
      <c r="V344" s="59"/>
      <c r="W344" s="6">
        <f>'CLIENT ENROLLMENT DISCHARGE '!M344</f>
        <v>0</v>
      </c>
      <c r="X344" s="76"/>
      <c r="Y344" s="180"/>
    </row>
    <row r="345" spans="1:25" ht="50.1" customHeight="1" x14ac:dyDescent="0.25">
      <c r="A345" s="5">
        <f t="shared" si="10"/>
        <v>331</v>
      </c>
      <c r="B345" s="10">
        <f>'CLIENT ENROLLMENT DISCHARGE '!B345</f>
        <v>0</v>
      </c>
      <c r="C345" s="4">
        <f>'CLIENT ENROLLMENT DISCHARGE '!C345</f>
        <v>0</v>
      </c>
      <c r="D345" s="51"/>
      <c r="E345" s="52"/>
      <c r="F345" s="51"/>
      <c r="G345" s="52"/>
      <c r="H345" s="62"/>
      <c r="I345" s="115"/>
      <c r="J345" s="9"/>
      <c r="K345" s="70"/>
      <c r="L345" s="52"/>
      <c r="M345" s="8"/>
      <c r="N345" s="7"/>
      <c r="O345" s="218">
        <f t="shared" si="11"/>
        <v>0</v>
      </c>
      <c r="P345" s="218">
        <f>O345+OCT!P345</f>
        <v>0</v>
      </c>
      <c r="Q345" s="59"/>
      <c r="R345" s="51"/>
      <c r="S345" s="65"/>
      <c r="T345" s="64"/>
      <c r="U345" s="67"/>
      <c r="V345" s="74"/>
      <c r="W345" s="6">
        <f>'CLIENT ENROLLMENT DISCHARGE '!M345</f>
        <v>0</v>
      </c>
      <c r="X345" s="76"/>
      <c r="Y345" s="180"/>
    </row>
    <row r="346" spans="1:25" ht="50.1" customHeight="1" x14ac:dyDescent="0.25">
      <c r="A346" s="5">
        <f t="shared" si="10"/>
        <v>332</v>
      </c>
      <c r="B346" s="10">
        <f>'CLIENT ENROLLMENT DISCHARGE '!B346</f>
        <v>0</v>
      </c>
      <c r="C346" s="4">
        <f>'CLIENT ENROLLMENT DISCHARGE '!C346</f>
        <v>0</v>
      </c>
      <c r="D346" s="52"/>
      <c r="E346" s="53"/>
      <c r="F346" s="52"/>
      <c r="G346" s="53"/>
      <c r="H346" s="63"/>
      <c r="I346" s="116"/>
      <c r="J346" s="3"/>
      <c r="K346" s="71"/>
      <c r="L346" s="53"/>
      <c r="M346" s="2"/>
      <c r="N346" s="1"/>
      <c r="O346" s="218">
        <f t="shared" si="11"/>
        <v>0</v>
      </c>
      <c r="P346" s="218">
        <f>O346+OCT!P346</f>
        <v>0</v>
      </c>
      <c r="Q346" s="60"/>
      <c r="R346" s="52"/>
      <c r="S346" s="66"/>
      <c r="T346" s="65"/>
      <c r="U346" s="68"/>
      <c r="V346" s="59"/>
      <c r="W346" s="6">
        <f>'CLIENT ENROLLMENT DISCHARGE '!M346</f>
        <v>0</v>
      </c>
      <c r="X346" s="76"/>
      <c r="Y346" s="180"/>
    </row>
    <row r="347" spans="1:25" ht="50.1" customHeight="1" x14ac:dyDescent="0.25">
      <c r="A347" s="5">
        <f t="shared" si="10"/>
        <v>333</v>
      </c>
      <c r="B347" s="10">
        <f>'CLIENT ENROLLMENT DISCHARGE '!B347</f>
        <v>0</v>
      </c>
      <c r="C347" s="4">
        <f>'CLIENT ENROLLMENT DISCHARGE '!C347</f>
        <v>0</v>
      </c>
      <c r="D347" s="51"/>
      <c r="E347" s="52"/>
      <c r="F347" s="51"/>
      <c r="G347" s="52"/>
      <c r="H347" s="62"/>
      <c r="I347" s="115"/>
      <c r="J347" s="9"/>
      <c r="K347" s="70"/>
      <c r="L347" s="52"/>
      <c r="M347" s="8"/>
      <c r="N347" s="7"/>
      <c r="O347" s="218">
        <f t="shared" si="11"/>
        <v>0</v>
      </c>
      <c r="P347" s="218">
        <f>O347+OCT!P347</f>
        <v>0</v>
      </c>
      <c r="Q347" s="59"/>
      <c r="R347" s="51"/>
      <c r="S347" s="65"/>
      <c r="T347" s="64"/>
      <c r="U347" s="67"/>
      <c r="V347" s="74"/>
      <c r="W347" s="6">
        <f>'CLIENT ENROLLMENT DISCHARGE '!M347</f>
        <v>0</v>
      </c>
      <c r="X347" s="76"/>
      <c r="Y347" s="180"/>
    </row>
    <row r="348" spans="1:25" ht="50.1" customHeight="1" x14ac:dyDescent="0.25">
      <c r="A348" s="5">
        <f t="shared" si="10"/>
        <v>334</v>
      </c>
      <c r="B348" s="10">
        <f>'CLIENT ENROLLMENT DISCHARGE '!B348</f>
        <v>0</v>
      </c>
      <c r="C348" s="4">
        <f>'CLIENT ENROLLMENT DISCHARGE '!C348</f>
        <v>0</v>
      </c>
      <c r="D348" s="52"/>
      <c r="E348" s="53"/>
      <c r="F348" s="52"/>
      <c r="G348" s="53"/>
      <c r="H348" s="63"/>
      <c r="I348" s="116"/>
      <c r="J348" s="3"/>
      <c r="K348" s="71"/>
      <c r="L348" s="53"/>
      <c r="M348" s="2"/>
      <c r="N348" s="1"/>
      <c r="O348" s="218">
        <f t="shared" si="11"/>
        <v>0</v>
      </c>
      <c r="P348" s="218">
        <f>O348+OCT!P348</f>
        <v>0</v>
      </c>
      <c r="Q348" s="60"/>
      <c r="R348" s="52"/>
      <c r="S348" s="66"/>
      <c r="T348" s="65"/>
      <c r="U348" s="68"/>
      <c r="V348" s="59"/>
      <c r="W348" s="6">
        <f>'CLIENT ENROLLMENT DISCHARGE '!M348</f>
        <v>0</v>
      </c>
      <c r="X348" s="76"/>
      <c r="Y348" s="180"/>
    </row>
    <row r="349" spans="1:25" ht="50.1" customHeight="1" x14ac:dyDescent="0.25">
      <c r="A349" s="5">
        <f t="shared" si="10"/>
        <v>335</v>
      </c>
      <c r="B349" s="10">
        <f>'CLIENT ENROLLMENT DISCHARGE '!B349</f>
        <v>0</v>
      </c>
      <c r="C349" s="4">
        <f>'CLIENT ENROLLMENT DISCHARGE '!C349</f>
        <v>0</v>
      </c>
      <c r="D349" s="51"/>
      <c r="E349" s="52"/>
      <c r="F349" s="51"/>
      <c r="G349" s="52"/>
      <c r="H349" s="62"/>
      <c r="I349" s="115"/>
      <c r="J349" s="9"/>
      <c r="K349" s="70"/>
      <c r="L349" s="52"/>
      <c r="M349" s="8"/>
      <c r="N349" s="7"/>
      <c r="O349" s="218">
        <f t="shared" si="11"/>
        <v>0</v>
      </c>
      <c r="P349" s="218">
        <f>O349+OCT!P349</f>
        <v>0</v>
      </c>
      <c r="Q349" s="59"/>
      <c r="R349" s="51"/>
      <c r="S349" s="65"/>
      <c r="T349" s="64"/>
      <c r="U349" s="67"/>
      <c r="V349" s="74"/>
      <c r="W349" s="6">
        <f>'CLIENT ENROLLMENT DISCHARGE '!M349</f>
        <v>0</v>
      </c>
      <c r="X349" s="76"/>
      <c r="Y349" s="180"/>
    </row>
    <row r="350" spans="1:25" ht="50.1" customHeight="1" x14ac:dyDescent="0.25">
      <c r="A350" s="5">
        <f t="shared" si="10"/>
        <v>336</v>
      </c>
      <c r="B350" s="10">
        <f>'CLIENT ENROLLMENT DISCHARGE '!B350</f>
        <v>0</v>
      </c>
      <c r="C350" s="4">
        <f>'CLIENT ENROLLMENT DISCHARGE '!C350</f>
        <v>0</v>
      </c>
      <c r="D350" s="52"/>
      <c r="E350" s="53"/>
      <c r="F350" s="52"/>
      <c r="G350" s="53"/>
      <c r="H350" s="63"/>
      <c r="I350" s="116"/>
      <c r="J350" s="3"/>
      <c r="K350" s="71"/>
      <c r="L350" s="53"/>
      <c r="M350" s="2"/>
      <c r="N350" s="1"/>
      <c r="O350" s="218">
        <f t="shared" si="11"/>
        <v>0</v>
      </c>
      <c r="P350" s="218">
        <f>O350+OCT!P350</f>
        <v>0</v>
      </c>
      <c r="Q350" s="60"/>
      <c r="R350" s="52"/>
      <c r="S350" s="66"/>
      <c r="T350" s="65"/>
      <c r="U350" s="68"/>
      <c r="V350" s="75"/>
      <c r="W350" s="6">
        <f>'CLIENT ENROLLMENT DISCHARGE '!M350</f>
        <v>0</v>
      </c>
      <c r="X350" s="76"/>
      <c r="Y350" s="180"/>
    </row>
    <row r="351" spans="1:25" ht="50.1" customHeight="1" x14ac:dyDescent="0.25">
      <c r="A351" s="5">
        <f t="shared" si="10"/>
        <v>337</v>
      </c>
      <c r="B351" s="10">
        <f>'CLIENT ENROLLMENT DISCHARGE '!B351</f>
        <v>0</v>
      </c>
      <c r="C351" s="4">
        <f>'CLIENT ENROLLMENT DISCHARGE '!C351</f>
        <v>0</v>
      </c>
      <c r="D351" s="51"/>
      <c r="E351" s="52"/>
      <c r="F351" s="51"/>
      <c r="G351" s="52"/>
      <c r="H351" s="62"/>
      <c r="I351" s="115"/>
      <c r="J351" s="9"/>
      <c r="K351" s="70"/>
      <c r="L351" s="52"/>
      <c r="M351" s="8"/>
      <c r="N351" s="7"/>
      <c r="O351" s="218">
        <f t="shared" si="11"/>
        <v>0</v>
      </c>
      <c r="P351" s="218">
        <f>O351+OCT!P351</f>
        <v>0</v>
      </c>
      <c r="Q351" s="59"/>
      <c r="R351" s="51"/>
      <c r="S351" s="65"/>
      <c r="T351" s="64"/>
      <c r="U351" s="67"/>
      <c r="V351" s="74"/>
      <c r="W351" s="6">
        <f>'CLIENT ENROLLMENT DISCHARGE '!M351</f>
        <v>0</v>
      </c>
      <c r="X351" s="76"/>
      <c r="Y351" s="180"/>
    </row>
    <row r="352" spans="1:25" ht="50.1" customHeight="1" x14ac:dyDescent="0.25">
      <c r="A352" s="5">
        <f t="shared" si="10"/>
        <v>338</v>
      </c>
      <c r="B352" s="10">
        <f>'CLIENT ENROLLMENT DISCHARGE '!B352</f>
        <v>0</v>
      </c>
      <c r="C352" s="4">
        <f>'CLIENT ENROLLMENT DISCHARGE '!C352</f>
        <v>0</v>
      </c>
      <c r="D352" s="52"/>
      <c r="E352" s="53"/>
      <c r="F352" s="52"/>
      <c r="G352" s="53"/>
      <c r="H352" s="63"/>
      <c r="I352" s="116"/>
      <c r="J352" s="3"/>
      <c r="K352" s="71"/>
      <c r="L352" s="53"/>
      <c r="M352" s="2"/>
      <c r="N352" s="1"/>
      <c r="O352" s="218">
        <f t="shared" si="11"/>
        <v>0</v>
      </c>
      <c r="P352" s="218">
        <f>O352+OCT!P352</f>
        <v>0</v>
      </c>
      <c r="Q352" s="60"/>
      <c r="R352" s="52"/>
      <c r="S352" s="66"/>
      <c r="T352" s="65"/>
      <c r="U352" s="68"/>
      <c r="V352" s="59"/>
      <c r="W352" s="6">
        <f>'CLIENT ENROLLMENT DISCHARGE '!M352</f>
        <v>0</v>
      </c>
      <c r="X352" s="76"/>
      <c r="Y352" s="180"/>
    </row>
    <row r="353" spans="1:25" ht="50.1" customHeight="1" x14ac:dyDescent="0.25">
      <c r="A353" s="5">
        <f t="shared" si="10"/>
        <v>339</v>
      </c>
      <c r="B353" s="10">
        <f>'CLIENT ENROLLMENT DISCHARGE '!B353</f>
        <v>0</v>
      </c>
      <c r="C353" s="4">
        <f>'CLIENT ENROLLMENT DISCHARGE '!C353</f>
        <v>0</v>
      </c>
      <c r="D353" s="51"/>
      <c r="E353" s="52"/>
      <c r="F353" s="51"/>
      <c r="G353" s="52"/>
      <c r="H353" s="62"/>
      <c r="I353" s="115"/>
      <c r="J353" s="9"/>
      <c r="K353" s="70"/>
      <c r="L353" s="52"/>
      <c r="M353" s="8"/>
      <c r="N353" s="7"/>
      <c r="O353" s="218">
        <f t="shared" si="11"/>
        <v>0</v>
      </c>
      <c r="P353" s="218">
        <f>O353+OCT!P353</f>
        <v>0</v>
      </c>
      <c r="Q353" s="59"/>
      <c r="R353" s="51"/>
      <c r="S353" s="65"/>
      <c r="T353" s="64"/>
      <c r="U353" s="67"/>
      <c r="V353" s="74"/>
      <c r="W353" s="6">
        <f>'CLIENT ENROLLMENT DISCHARGE '!M353</f>
        <v>0</v>
      </c>
      <c r="X353" s="76"/>
      <c r="Y353" s="180"/>
    </row>
    <row r="354" spans="1:25" ht="50.1" customHeight="1" x14ac:dyDescent="0.25">
      <c r="A354" s="5">
        <f t="shared" si="10"/>
        <v>340</v>
      </c>
      <c r="B354" s="10">
        <f>'CLIENT ENROLLMENT DISCHARGE '!B354</f>
        <v>0</v>
      </c>
      <c r="C354" s="4">
        <f>'CLIENT ENROLLMENT DISCHARGE '!C354</f>
        <v>0</v>
      </c>
      <c r="D354" s="52"/>
      <c r="E354" s="53"/>
      <c r="F354" s="52"/>
      <c r="G354" s="53"/>
      <c r="H354" s="63"/>
      <c r="I354" s="116"/>
      <c r="J354" s="3"/>
      <c r="K354" s="71"/>
      <c r="L354" s="53"/>
      <c r="M354" s="2"/>
      <c r="N354" s="1"/>
      <c r="O354" s="218">
        <f t="shared" si="11"/>
        <v>0</v>
      </c>
      <c r="P354" s="218">
        <f>O354+OCT!P354</f>
        <v>0</v>
      </c>
      <c r="Q354" s="60"/>
      <c r="R354" s="52"/>
      <c r="S354" s="66"/>
      <c r="T354" s="65"/>
      <c r="U354" s="68"/>
      <c r="V354" s="59"/>
      <c r="W354" s="6">
        <f>'CLIENT ENROLLMENT DISCHARGE '!M354</f>
        <v>0</v>
      </c>
      <c r="X354" s="76"/>
      <c r="Y354" s="180"/>
    </row>
    <row r="355" spans="1:25" ht="50.1" customHeight="1" x14ac:dyDescent="0.25">
      <c r="A355" s="5">
        <f t="shared" si="10"/>
        <v>341</v>
      </c>
      <c r="B355" s="10">
        <f>'CLIENT ENROLLMENT DISCHARGE '!B355</f>
        <v>0</v>
      </c>
      <c r="C355" s="4">
        <f>'CLIENT ENROLLMENT DISCHARGE '!C355</f>
        <v>0</v>
      </c>
      <c r="D355" s="51"/>
      <c r="E355" s="52"/>
      <c r="F355" s="51"/>
      <c r="G355" s="52"/>
      <c r="H355" s="62"/>
      <c r="I355" s="115"/>
      <c r="J355" s="9"/>
      <c r="K355" s="70"/>
      <c r="L355" s="52"/>
      <c r="M355" s="8"/>
      <c r="N355" s="7"/>
      <c r="O355" s="218">
        <f t="shared" si="11"/>
        <v>0</v>
      </c>
      <c r="P355" s="218">
        <f>O355+OCT!P355</f>
        <v>0</v>
      </c>
      <c r="Q355" s="59"/>
      <c r="R355" s="51"/>
      <c r="S355" s="65"/>
      <c r="T355" s="64"/>
      <c r="U355" s="67"/>
      <c r="V355" s="74"/>
      <c r="W355" s="6">
        <f>'CLIENT ENROLLMENT DISCHARGE '!M355</f>
        <v>0</v>
      </c>
      <c r="X355" s="76"/>
      <c r="Y355" s="180"/>
    </row>
    <row r="356" spans="1:25" ht="50.1" customHeight="1" x14ac:dyDescent="0.25">
      <c r="A356" s="5">
        <f t="shared" si="10"/>
        <v>342</v>
      </c>
      <c r="B356" s="10">
        <f>'CLIENT ENROLLMENT DISCHARGE '!B356</f>
        <v>0</v>
      </c>
      <c r="C356" s="4">
        <f>'CLIENT ENROLLMENT DISCHARGE '!C356</f>
        <v>0</v>
      </c>
      <c r="D356" s="52"/>
      <c r="E356" s="53"/>
      <c r="F356" s="52"/>
      <c r="G356" s="53"/>
      <c r="H356" s="63"/>
      <c r="I356" s="116"/>
      <c r="J356" s="3"/>
      <c r="K356" s="71"/>
      <c r="L356" s="53"/>
      <c r="M356" s="2"/>
      <c r="N356" s="1"/>
      <c r="O356" s="218">
        <f t="shared" si="11"/>
        <v>0</v>
      </c>
      <c r="P356" s="218">
        <f>O356+OCT!P356</f>
        <v>0</v>
      </c>
      <c r="Q356" s="60"/>
      <c r="R356" s="52"/>
      <c r="S356" s="66"/>
      <c r="T356" s="65"/>
      <c r="U356" s="68"/>
      <c r="V356" s="59"/>
      <c r="W356" s="6">
        <f>'CLIENT ENROLLMENT DISCHARGE '!M356</f>
        <v>0</v>
      </c>
      <c r="X356" s="76"/>
      <c r="Y356" s="180"/>
    </row>
    <row r="357" spans="1:25" ht="50.1" customHeight="1" x14ac:dyDescent="0.25">
      <c r="A357" s="5">
        <f t="shared" si="10"/>
        <v>343</v>
      </c>
      <c r="B357" s="10">
        <f>'CLIENT ENROLLMENT DISCHARGE '!B357</f>
        <v>0</v>
      </c>
      <c r="C357" s="4">
        <f>'CLIENT ENROLLMENT DISCHARGE '!C357</f>
        <v>0</v>
      </c>
      <c r="D357" s="51"/>
      <c r="E357" s="52"/>
      <c r="F357" s="51"/>
      <c r="G357" s="52"/>
      <c r="H357" s="62"/>
      <c r="I357" s="115"/>
      <c r="J357" s="9"/>
      <c r="K357" s="70"/>
      <c r="L357" s="52"/>
      <c r="M357" s="8"/>
      <c r="N357" s="7"/>
      <c r="O357" s="218">
        <f t="shared" si="11"/>
        <v>0</v>
      </c>
      <c r="P357" s="218">
        <f>O357+OCT!P357</f>
        <v>0</v>
      </c>
      <c r="Q357" s="59"/>
      <c r="R357" s="51"/>
      <c r="S357" s="65"/>
      <c r="T357" s="64"/>
      <c r="U357" s="67"/>
      <c r="V357" s="74"/>
      <c r="W357" s="6">
        <f>'CLIENT ENROLLMENT DISCHARGE '!M357</f>
        <v>0</v>
      </c>
      <c r="X357" s="76"/>
      <c r="Y357" s="180"/>
    </row>
    <row r="358" spans="1:25" ht="50.1" customHeight="1" x14ac:dyDescent="0.25">
      <c r="A358" s="5">
        <f t="shared" si="10"/>
        <v>344</v>
      </c>
      <c r="B358" s="10">
        <f>'CLIENT ENROLLMENT DISCHARGE '!B358</f>
        <v>0</v>
      </c>
      <c r="C358" s="4">
        <f>'CLIENT ENROLLMENT DISCHARGE '!C358</f>
        <v>0</v>
      </c>
      <c r="D358" s="52"/>
      <c r="E358" s="53"/>
      <c r="F358" s="52"/>
      <c r="G358" s="53"/>
      <c r="H358" s="63"/>
      <c r="I358" s="116"/>
      <c r="J358" s="3"/>
      <c r="K358" s="71"/>
      <c r="L358" s="53"/>
      <c r="M358" s="2"/>
      <c r="N358" s="1"/>
      <c r="O358" s="218">
        <f t="shared" si="11"/>
        <v>0</v>
      </c>
      <c r="P358" s="218">
        <f>O358+OCT!P358</f>
        <v>0</v>
      </c>
      <c r="Q358" s="60"/>
      <c r="R358" s="52"/>
      <c r="S358" s="66"/>
      <c r="T358" s="65"/>
      <c r="U358" s="68"/>
      <c r="V358" s="59"/>
      <c r="W358" s="6">
        <f>'CLIENT ENROLLMENT DISCHARGE '!M358</f>
        <v>0</v>
      </c>
      <c r="X358" s="76"/>
      <c r="Y358" s="180"/>
    </row>
    <row r="359" spans="1:25" ht="50.1" customHeight="1" x14ac:dyDescent="0.25">
      <c r="A359" s="5">
        <f t="shared" si="10"/>
        <v>345</v>
      </c>
      <c r="B359" s="10">
        <f>'CLIENT ENROLLMENT DISCHARGE '!B359</f>
        <v>0</v>
      </c>
      <c r="C359" s="4">
        <f>'CLIENT ENROLLMENT DISCHARGE '!C359</f>
        <v>0</v>
      </c>
      <c r="D359" s="51"/>
      <c r="E359" s="52"/>
      <c r="F359" s="51"/>
      <c r="G359" s="52"/>
      <c r="H359" s="62"/>
      <c r="I359" s="115"/>
      <c r="J359" s="9"/>
      <c r="K359" s="70"/>
      <c r="L359" s="52"/>
      <c r="M359" s="8"/>
      <c r="N359" s="7"/>
      <c r="O359" s="218">
        <f t="shared" si="11"/>
        <v>0</v>
      </c>
      <c r="P359" s="218">
        <f>O359+OCT!P359</f>
        <v>0</v>
      </c>
      <c r="Q359" s="59"/>
      <c r="R359" s="51"/>
      <c r="S359" s="65"/>
      <c r="T359" s="64"/>
      <c r="U359" s="67"/>
      <c r="V359" s="74"/>
      <c r="W359" s="6">
        <f>'CLIENT ENROLLMENT DISCHARGE '!M359</f>
        <v>0</v>
      </c>
      <c r="X359" s="76"/>
      <c r="Y359" s="180"/>
    </row>
    <row r="360" spans="1:25" ht="50.1" customHeight="1" x14ac:dyDescent="0.25">
      <c r="A360" s="5">
        <f t="shared" si="10"/>
        <v>346</v>
      </c>
      <c r="B360" s="10">
        <f>'CLIENT ENROLLMENT DISCHARGE '!B360</f>
        <v>0</v>
      </c>
      <c r="C360" s="4">
        <f>'CLIENT ENROLLMENT DISCHARGE '!C360</f>
        <v>0</v>
      </c>
      <c r="D360" s="52"/>
      <c r="E360" s="53"/>
      <c r="F360" s="52"/>
      <c r="G360" s="53"/>
      <c r="H360" s="63"/>
      <c r="I360" s="116"/>
      <c r="J360" s="3"/>
      <c r="K360" s="71"/>
      <c r="L360" s="53"/>
      <c r="M360" s="2"/>
      <c r="N360" s="1"/>
      <c r="O360" s="218">
        <f t="shared" si="11"/>
        <v>0</v>
      </c>
      <c r="P360" s="218">
        <f>O360+OCT!P360</f>
        <v>0</v>
      </c>
      <c r="Q360" s="60"/>
      <c r="R360" s="52"/>
      <c r="S360" s="66"/>
      <c r="T360" s="65"/>
      <c r="U360" s="68"/>
      <c r="V360" s="75"/>
      <c r="W360" s="6">
        <f>'CLIENT ENROLLMENT DISCHARGE '!M360</f>
        <v>0</v>
      </c>
      <c r="X360" s="76"/>
      <c r="Y360" s="180"/>
    </row>
    <row r="361" spans="1:25" ht="50.1" customHeight="1" x14ac:dyDescent="0.25">
      <c r="A361" s="5">
        <f t="shared" si="10"/>
        <v>347</v>
      </c>
      <c r="B361" s="10">
        <f>'CLIENT ENROLLMENT DISCHARGE '!B361</f>
        <v>0</v>
      </c>
      <c r="C361" s="4">
        <f>'CLIENT ENROLLMENT DISCHARGE '!C361</f>
        <v>0</v>
      </c>
      <c r="D361" s="51"/>
      <c r="E361" s="52"/>
      <c r="F361" s="51"/>
      <c r="G361" s="52"/>
      <c r="H361" s="62"/>
      <c r="I361" s="115"/>
      <c r="J361" s="9"/>
      <c r="K361" s="70"/>
      <c r="L361" s="52"/>
      <c r="M361" s="8"/>
      <c r="N361" s="7"/>
      <c r="O361" s="218">
        <f t="shared" si="11"/>
        <v>0</v>
      </c>
      <c r="P361" s="218">
        <f>O361+OCT!P361</f>
        <v>0</v>
      </c>
      <c r="Q361" s="59"/>
      <c r="R361" s="51"/>
      <c r="S361" s="65"/>
      <c r="T361" s="64"/>
      <c r="U361" s="67"/>
      <c r="V361" s="74"/>
      <c r="W361" s="6">
        <f>'CLIENT ENROLLMENT DISCHARGE '!M361</f>
        <v>0</v>
      </c>
      <c r="X361" s="76"/>
      <c r="Y361" s="180"/>
    </row>
    <row r="362" spans="1:25" ht="50.1" customHeight="1" x14ac:dyDescent="0.25">
      <c r="A362" s="5">
        <f t="shared" si="10"/>
        <v>348</v>
      </c>
      <c r="B362" s="10">
        <f>'CLIENT ENROLLMENT DISCHARGE '!B362</f>
        <v>0</v>
      </c>
      <c r="C362" s="4">
        <f>'CLIENT ENROLLMENT DISCHARGE '!C362</f>
        <v>0</v>
      </c>
      <c r="D362" s="52"/>
      <c r="E362" s="53"/>
      <c r="F362" s="52"/>
      <c r="G362" s="53"/>
      <c r="H362" s="63"/>
      <c r="I362" s="116"/>
      <c r="J362" s="3"/>
      <c r="K362" s="71"/>
      <c r="L362" s="53"/>
      <c r="M362" s="2"/>
      <c r="N362" s="1"/>
      <c r="O362" s="218">
        <f t="shared" si="11"/>
        <v>0</v>
      </c>
      <c r="P362" s="218">
        <f>O362+OCT!P362</f>
        <v>0</v>
      </c>
      <c r="Q362" s="60"/>
      <c r="R362" s="52"/>
      <c r="S362" s="66"/>
      <c r="T362" s="65"/>
      <c r="U362" s="68"/>
      <c r="V362" s="59"/>
      <c r="W362" s="6">
        <f>'CLIENT ENROLLMENT DISCHARGE '!M362</f>
        <v>0</v>
      </c>
      <c r="X362" s="76"/>
      <c r="Y362" s="180"/>
    </row>
    <row r="363" spans="1:25" ht="50.1" customHeight="1" x14ac:dyDescent="0.25">
      <c r="A363" s="5">
        <f t="shared" si="10"/>
        <v>349</v>
      </c>
      <c r="B363" s="10">
        <f>'CLIENT ENROLLMENT DISCHARGE '!B363</f>
        <v>0</v>
      </c>
      <c r="C363" s="4">
        <f>'CLIENT ENROLLMENT DISCHARGE '!C363</f>
        <v>0</v>
      </c>
      <c r="D363" s="51"/>
      <c r="E363" s="52"/>
      <c r="F363" s="51"/>
      <c r="G363" s="52"/>
      <c r="H363" s="62"/>
      <c r="I363" s="115"/>
      <c r="J363" s="9"/>
      <c r="K363" s="70"/>
      <c r="L363" s="52"/>
      <c r="M363" s="8"/>
      <c r="N363" s="7"/>
      <c r="O363" s="218">
        <f t="shared" si="11"/>
        <v>0</v>
      </c>
      <c r="P363" s="218">
        <f>O363+OCT!P363</f>
        <v>0</v>
      </c>
      <c r="Q363" s="59"/>
      <c r="R363" s="51"/>
      <c r="S363" s="65"/>
      <c r="T363" s="64"/>
      <c r="U363" s="67"/>
      <c r="V363" s="74"/>
      <c r="W363" s="6">
        <f>'CLIENT ENROLLMENT DISCHARGE '!M363</f>
        <v>0</v>
      </c>
      <c r="X363" s="76"/>
      <c r="Y363" s="180"/>
    </row>
    <row r="364" spans="1:25" ht="50.1" customHeight="1" x14ac:dyDescent="0.25">
      <c r="A364" s="5">
        <f t="shared" si="10"/>
        <v>350</v>
      </c>
      <c r="B364" s="10">
        <f>'CLIENT ENROLLMENT DISCHARGE '!B364</f>
        <v>0</v>
      </c>
      <c r="C364" s="4">
        <f>'CLIENT ENROLLMENT DISCHARGE '!C364</f>
        <v>0</v>
      </c>
      <c r="D364" s="52"/>
      <c r="E364" s="53"/>
      <c r="F364" s="52"/>
      <c r="G364" s="53"/>
      <c r="H364" s="63"/>
      <c r="I364" s="116"/>
      <c r="J364" s="3"/>
      <c r="K364" s="71"/>
      <c r="L364" s="53"/>
      <c r="M364" s="2"/>
      <c r="N364" s="1"/>
      <c r="O364" s="218">
        <f t="shared" si="11"/>
        <v>0</v>
      </c>
      <c r="P364" s="218">
        <f>O364+OCT!P364</f>
        <v>0</v>
      </c>
      <c r="Q364" s="60"/>
      <c r="R364" s="52"/>
      <c r="S364" s="66"/>
      <c r="T364" s="65"/>
      <c r="U364" s="68"/>
      <c r="V364" s="59"/>
      <c r="W364" s="6">
        <f>'CLIENT ENROLLMENT DISCHARGE '!M364</f>
        <v>0</v>
      </c>
      <c r="X364" s="76"/>
      <c r="Y364" s="180"/>
    </row>
    <row r="365" spans="1:25" ht="50.1" customHeight="1" x14ac:dyDescent="0.25">
      <c r="A365" s="5">
        <f t="shared" si="10"/>
        <v>351</v>
      </c>
      <c r="B365" s="10">
        <f>'CLIENT ENROLLMENT DISCHARGE '!B365</f>
        <v>0</v>
      </c>
      <c r="C365" s="4">
        <f>'CLIENT ENROLLMENT DISCHARGE '!C365</f>
        <v>0</v>
      </c>
      <c r="D365" s="51"/>
      <c r="E365" s="52"/>
      <c r="F365" s="51"/>
      <c r="G365" s="52"/>
      <c r="H365" s="62"/>
      <c r="I365" s="115"/>
      <c r="J365" s="9"/>
      <c r="K365" s="70"/>
      <c r="L365" s="52"/>
      <c r="M365" s="8"/>
      <c r="N365" s="7"/>
      <c r="O365" s="218">
        <f t="shared" si="11"/>
        <v>0</v>
      </c>
      <c r="P365" s="218">
        <f>O365+OCT!P365</f>
        <v>0</v>
      </c>
      <c r="Q365" s="59"/>
      <c r="R365" s="51"/>
      <c r="S365" s="65"/>
      <c r="T365" s="64"/>
      <c r="U365" s="67"/>
      <c r="V365" s="74"/>
      <c r="W365" s="6">
        <f>'CLIENT ENROLLMENT DISCHARGE '!M365</f>
        <v>0</v>
      </c>
      <c r="X365" s="76"/>
      <c r="Y365" s="180"/>
    </row>
    <row r="366" spans="1:25" ht="50.1" customHeight="1" x14ac:dyDescent="0.25">
      <c r="A366" s="5">
        <f t="shared" si="10"/>
        <v>352</v>
      </c>
      <c r="B366" s="10">
        <f>'CLIENT ENROLLMENT DISCHARGE '!B366</f>
        <v>0</v>
      </c>
      <c r="C366" s="4">
        <f>'CLIENT ENROLLMENT DISCHARGE '!C366</f>
        <v>0</v>
      </c>
      <c r="D366" s="52"/>
      <c r="E366" s="53"/>
      <c r="F366" s="52"/>
      <c r="G366" s="53"/>
      <c r="H366" s="63"/>
      <c r="I366" s="116"/>
      <c r="J366" s="3"/>
      <c r="K366" s="71"/>
      <c r="L366" s="53"/>
      <c r="M366" s="2"/>
      <c r="N366" s="1"/>
      <c r="O366" s="218">
        <f t="shared" si="11"/>
        <v>0</v>
      </c>
      <c r="P366" s="218">
        <f>O366+OCT!P366</f>
        <v>0</v>
      </c>
      <c r="Q366" s="60"/>
      <c r="R366" s="52"/>
      <c r="S366" s="66"/>
      <c r="T366" s="65"/>
      <c r="U366" s="68"/>
      <c r="V366" s="59"/>
      <c r="W366" s="6">
        <f>'CLIENT ENROLLMENT DISCHARGE '!M366</f>
        <v>0</v>
      </c>
      <c r="X366" s="76"/>
      <c r="Y366" s="180"/>
    </row>
    <row r="367" spans="1:25" ht="50.1" customHeight="1" x14ac:dyDescent="0.25">
      <c r="A367" s="5">
        <f t="shared" si="10"/>
        <v>353</v>
      </c>
      <c r="B367" s="10">
        <f>'CLIENT ENROLLMENT DISCHARGE '!B367</f>
        <v>0</v>
      </c>
      <c r="C367" s="4">
        <f>'CLIENT ENROLLMENT DISCHARGE '!C367</f>
        <v>0</v>
      </c>
      <c r="D367" s="51"/>
      <c r="E367" s="52"/>
      <c r="F367" s="51"/>
      <c r="G367" s="52"/>
      <c r="H367" s="62"/>
      <c r="I367" s="115"/>
      <c r="J367" s="9"/>
      <c r="K367" s="70"/>
      <c r="L367" s="52"/>
      <c r="M367" s="8"/>
      <c r="N367" s="7"/>
      <c r="O367" s="218">
        <f t="shared" si="11"/>
        <v>0</v>
      </c>
      <c r="P367" s="218">
        <f>O367+OCT!P367</f>
        <v>0</v>
      </c>
      <c r="Q367" s="59"/>
      <c r="R367" s="51"/>
      <c r="S367" s="65"/>
      <c r="T367" s="64"/>
      <c r="U367" s="67"/>
      <c r="V367" s="74"/>
      <c r="W367" s="6">
        <f>'CLIENT ENROLLMENT DISCHARGE '!M367</f>
        <v>0</v>
      </c>
      <c r="X367" s="76"/>
      <c r="Y367" s="180"/>
    </row>
    <row r="368" spans="1:25" ht="50.1" customHeight="1" x14ac:dyDescent="0.25">
      <c r="A368" s="5">
        <f t="shared" si="10"/>
        <v>354</v>
      </c>
      <c r="B368" s="10">
        <f>'CLIENT ENROLLMENT DISCHARGE '!B368</f>
        <v>0</v>
      </c>
      <c r="C368" s="4">
        <f>'CLIENT ENROLLMENT DISCHARGE '!C368</f>
        <v>0</v>
      </c>
      <c r="D368" s="52"/>
      <c r="E368" s="53"/>
      <c r="F368" s="52"/>
      <c r="G368" s="53"/>
      <c r="H368" s="63"/>
      <c r="I368" s="116"/>
      <c r="J368" s="3"/>
      <c r="K368" s="71"/>
      <c r="L368" s="53"/>
      <c r="M368" s="2"/>
      <c r="N368" s="1"/>
      <c r="O368" s="218">
        <f t="shared" si="11"/>
        <v>0</v>
      </c>
      <c r="P368" s="218">
        <f>O368+OCT!P368</f>
        <v>0</v>
      </c>
      <c r="Q368" s="60"/>
      <c r="R368" s="52"/>
      <c r="S368" s="66"/>
      <c r="T368" s="65"/>
      <c r="U368" s="68"/>
      <c r="V368" s="59"/>
      <c r="W368" s="6">
        <f>'CLIENT ENROLLMENT DISCHARGE '!M368</f>
        <v>0</v>
      </c>
      <c r="X368" s="76"/>
      <c r="Y368" s="180"/>
    </row>
    <row r="369" spans="1:25" ht="50.1" customHeight="1" x14ac:dyDescent="0.25">
      <c r="A369" s="5">
        <f t="shared" si="10"/>
        <v>355</v>
      </c>
      <c r="B369" s="10">
        <f>'CLIENT ENROLLMENT DISCHARGE '!B369</f>
        <v>0</v>
      </c>
      <c r="C369" s="4">
        <f>'CLIENT ENROLLMENT DISCHARGE '!C369</f>
        <v>0</v>
      </c>
      <c r="D369" s="51"/>
      <c r="E369" s="52"/>
      <c r="F369" s="51"/>
      <c r="G369" s="52"/>
      <c r="H369" s="62"/>
      <c r="I369" s="115"/>
      <c r="J369" s="9"/>
      <c r="K369" s="70"/>
      <c r="L369" s="52"/>
      <c r="M369" s="8"/>
      <c r="N369" s="7"/>
      <c r="O369" s="218">
        <f t="shared" si="11"/>
        <v>0</v>
      </c>
      <c r="P369" s="218">
        <f>O369+OCT!P369</f>
        <v>0</v>
      </c>
      <c r="Q369" s="59"/>
      <c r="R369" s="51"/>
      <c r="S369" s="65"/>
      <c r="T369" s="64"/>
      <c r="U369" s="67"/>
      <c r="V369" s="74"/>
      <c r="W369" s="6">
        <f>'CLIENT ENROLLMENT DISCHARGE '!M369</f>
        <v>0</v>
      </c>
      <c r="X369" s="76"/>
      <c r="Y369" s="180"/>
    </row>
    <row r="370" spans="1:25" ht="50.1" customHeight="1" x14ac:dyDescent="0.25">
      <c r="A370" s="5">
        <f t="shared" si="10"/>
        <v>356</v>
      </c>
      <c r="B370" s="10">
        <f>'CLIENT ENROLLMENT DISCHARGE '!B370</f>
        <v>0</v>
      </c>
      <c r="C370" s="4">
        <f>'CLIENT ENROLLMENT DISCHARGE '!C370</f>
        <v>0</v>
      </c>
      <c r="D370" s="52"/>
      <c r="E370" s="53"/>
      <c r="F370" s="52"/>
      <c r="G370" s="53"/>
      <c r="H370" s="63"/>
      <c r="I370" s="116"/>
      <c r="J370" s="3"/>
      <c r="K370" s="71"/>
      <c r="L370" s="53"/>
      <c r="M370" s="2"/>
      <c r="N370" s="1"/>
      <c r="O370" s="218">
        <f t="shared" si="11"/>
        <v>0</v>
      </c>
      <c r="P370" s="218">
        <f>O370+OCT!P370</f>
        <v>0</v>
      </c>
      <c r="Q370" s="60"/>
      <c r="R370" s="52"/>
      <c r="S370" s="66"/>
      <c r="T370" s="65"/>
      <c r="U370" s="68"/>
      <c r="V370" s="75"/>
      <c r="W370" s="6">
        <f>'CLIENT ENROLLMENT DISCHARGE '!M370</f>
        <v>0</v>
      </c>
      <c r="X370" s="76"/>
      <c r="Y370" s="180"/>
    </row>
    <row r="371" spans="1:25" ht="50.1" customHeight="1" x14ac:dyDescent="0.25">
      <c r="A371" s="5">
        <f t="shared" si="10"/>
        <v>357</v>
      </c>
      <c r="B371" s="10">
        <f>'CLIENT ENROLLMENT DISCHARGE '!B371</f>
        <v>0</v>
      </c>
      <c r="C371" s="4">
        <f>'CLIENT ENROLLMENT DISCHARGE '!C371</f>
        <v>0</v>
      </c>
      <c r="D371" s="51"/>
      <c r="E371" s="52"/>
      <c r="F371" s="51"/>
      <c r="G371" s="52"/>
      <c r="H371" s="62"/>
      <c r="I371" s="115"/>
      <c r="J371" s="9"/>
      <c r="K371" s="70"/>
      <c r="L371" s="52"/>
      <c r="M371" s="8"/>
      <c r="N371" s="7"/>
      <c r="O371" s="218">
        <f t="shared" si="11"/>
        <v>0</v>
      </c>
      <c r="P371" s="218">
        <f>O371+OCT!P371</f>
        <v>0</v>
      </c>
      <c r="Q371" s="59"/>
      <c r="R371" s="51"/>
      <c r="S371" s="65"/>
      <c r="T371" s="64"/>
      <c r="U371" s="67"/>
      <c r="V371" s="74"/>
      <c r="W371" s="6">
        <f>'CLIENT ENROLLMENT DISCHARGE '!M371</f>
        <v>0</v>
      </c>
      <c r="X371" s="76"/>
      <c r="Y371" s="180"/>
    </row>
    <row r="372" spans="1:25" ht="50.1" customHeight="1" x14ac:dyDescent="0.25">
      <c r="A372" s="5">
        <f t="shared" si="10"/>
        <v>358</v>
      </c>
      <c r="B372" s="10">
        <f>'CLIENT ENROLLMENT DISCHARGE '!B372</f>
        <v>0</v>
      </c>
      <c r="C372" s="4">
        <f>'CLIENT ENROLLMENT DISCHARGE '!C372</f>
        <v>0</v>
      </c>
      <c r="D372" s="52"/>
      <c r="E372" s="53"/>
      <c r="F372" s="52"/>
      <c r="G372" s="53"/>
      <c r="H372" s="63"/>
      <c r="I372" s="116"/>
      <c r="J372" s="3"/>
      <c r="K372" s="71"/>
      <c r="L372" s="53"/>
      <c r="M372" s="2"/>
      <c r="N372" s="1"/>
      <c r="O372" s="218">
        <f t="shared" si="11"/>
        <v>0</v>
      </c>
      <c r="P372" s="218">
        <f>O372+OCT!P372</f>
        <v>0</v>
      </c>
      <c r="Q372" s="60"/>
      <c r="R372" s="52"/>
      <c r="S372" s="66"/>
      <c r="T372" s="65"/>
      <c r="U372" s="68"/>
      <c r="V372" s="59"/>
      <c r="W372" s="6">
        <f>'CLIENT ENROLLMENT DISCHARGE '!M372</f>
        <v>0</v>
      </c>
      <c r="X372" s="76"/>
      <c r="Y372" s="180"/>
    </row>
    <row r="373" spans="1:25" ht="50.1" customHeight="1" x14ac:dyDescent="0.25">
      <c r="A373" s="5">
        <f t="shared" si="10"/>
        <v>359</v>
      </c>
      <c r="B373" s="10">
        <f>'CLIENT ENROLLMENT DISCHARGE '!B373</f>
        <v>0</v>
      </c>
      <c r="C373" s="4">
        <f>'CLIENT ENROLLMENT DISCHARGE '!C373</f>
        <v>0</v>
      </c>
      <c r="D373" s="51"/>
      <c r="E373" s="52"/>
      <c r="F373" s="51"/>
      <c r="G373" s="52"/>
      <c r="H373" s="62"/>
      <c r="I373" s="115"/>
      <c r="J373" s="9"/>
      <c r="K373" s="70"/>
      <c r="L373" s="52"/>
      <c r="M373" s="8"/>
      <c r="N373" s="7"/>
      <c r="O373" s="218">
        <f t="shared" si="11"/>
        <v>0</v>
      </c>
      <c r="P373" s="218">
        <f>O373+OCT!P373</f>
        <v>0</v>
      </c>
      <c r="Q373" s="59"/>
      <c r="R373" s="51"/>
      <c r="S373" s="65"/>
      <c r="T373" s="64"/>
      <c r="U373" s="67"/>
      <c r="V373" s="74"/>
      <c r="W373" s="6">
        <f>'CLIENT ENROLLMENT DISCHARGE '!M373</f>
        <v>0</v>
      </c>
      <c r="X373" s="76"/>
      <c r="Y373" s="180"/>
    </row>
    <row r="374" spans="1:25" ht="50.1" customHeight="1" x14ac:dyDescent="0.25">
      <c r="A374" s="5">
        <f t="shared" si="10"/>
        <v>360</v>
      </c>
      <c r="B374" s="10">
        <f>'CLIENT ENROLLMENT DISCHARGE '!B374</f>
        <v>0</v>
      </c>
      <c r="C374" s="4">
        <f>'CLIENT ENROLLMENT DISCHARGE '!C374</f>
        <v>0</v>
      </c>
      <c r="D374" s="52"/>
      <c r="E374" s="53"/>
      <c r="F374" s="52"/>
      <c r="G374" s="53"/>
      <c r="H374" s="63"/>
      <c r="I374" s="116"/>
      <c r="J374" s="3"/>
      <c r="K374" s="71"/>
      <c r="L374" s="53"/>
      <c r="M374" s="2"/>
      <c r="N374" s="1"/>
      <c r="O374" s="218">
        <f t="shared" si="11"/>
        <v>0</v>
      </c>
      <c r="P374" s="218">
        <f>O374+OCT!P374</f>
        <v>0</v>
      </c>
      <c r="Q374" s="60"/>
      <c r="R374" s="52"/>
      <c r="S374" s="66"/>
      <c r="T374" s="65"/>
      <c r="U374" s="68"/>
      <c r="V374" s="59"/>
      <c r="W374" s="6">
        <f>'CLIENT ENROLLMENT DISCHARGE '!M374</f>
        <v>0</v>
      </c>
      <c r="X374" s="76"/>
      <c r="Y374" s="180"/>
    </row>
    <row r="375" spans="1:25" ht="50.1" customHeight="1" x14ac:dyDescent="0.25">
      <c r="A375" s="5">
        <f t="shared" si="10"/>
        <v>361</v>
      </c>
      <c r="B375" s="10">
        <f>'CLIENT ENROLLMENT DISCHARGE '!B375</f>
        <v>0</v>
      </c>
      <c r="C375" s="4">
        <f>'CLIENT ENROLLMENT DISCHARGE '!C375</f>
        <v>0</v>
      </c>
      <c r="D375" s="51"/>
      <c r="E375" s="52"/>
      <c r="F375" s="51"/>
      <c r="G375" s="52"/>
      <c r="H375" s="62"/>
      <c r="I375" s="115"/>
      <c r="J375" s="9"/>
      <c r="K375" s="70"/>
      <c r="L375" s="52"/>
      <c r="M375" s="8"/>
      <c r="N375" s="7"/>
      <c r="O375" s="218">
        <f t="shared" si="11"/>
        <v>0</v>
      </c>
      <c r="P375" s="218">
        <f>O375+OCT!P375</f>
        <v>0</v>
      </c>
      <c r="Q375" s="59"/>
      <c r="R375" s="51"/>
      <c r="S375" s="65"/>
      <c r="T375" s="64"/>
      <c r="U375" s="67"/>
      <c r="V375" s="74"/>
      <c r="W375" s="6">
        <f>'CLIENT ENROLLMENT DISCHARGE '!M375</f>
        <v>0</v>
      </c>
      <c r="X375" s="76"/>
      <c r="Y375" s="180"/>
    </row>
    <row r="376" spans="1:25" ht="50.1" customHeight="1" x14ac:dyDescent="0.25">
      <c r="A376" s="5">
        <f t="shared" si="10"/>
        <v>362</v>
      </c>
      <c r="B376" s="10">
        <f>'CLIENT ENROLLMENT DISCHARGE '!B376</f>
        <v>0</v>
      </c>
      <c r="C376" s="4">
        <f>'CLIENT ENROLLMENT DISCHARGE '!C376</f>
        <v>0</v>
      </c>
      <c r="D376" s="52"/>
      <c r="E376" s="53"/>
      <c r="F376" s="52"/>
      <c r="G376" s="53"/>
      <c r="H376" s="63"/>
      <c r="I376" s="116"/>
      <c r="J376" s="3"/>
      <c r="K376" s="71"/>
      <c r="L376" s="53"/>
      <c r="M376" s="2"/>
      <c r="N376" s="1"/>
      <c r="O376" s="218">
        <f t="shared" si="11"/>
        <v>0</v>
      </c>
      <c r="P376" s="218">
        <f>O376+OCT!P376</f>
        <v>0</v>
      </c>
      <c r="Q376" s="60"/>
      <c r="R376" s="52"/>
      <c r="S376" s="66"/>
      <c r="T376" s="65"/>
      <c r="U376" s="68"/>
      <c r="V376" s="59"/>
      <c r="W376" s="6">
        <f>'CLIENT ENROLLMENT DISCHARGE '!M376</f>
        <v>0</v>
      </c>
      <c r="X376" s="76"/>
      <c r="Y376" s="180"/>
    </row>
    <row r="377" spans="1:25" ht="50.1" customHeight="1" x14ac:dyDescent="0.25">
      <c r="A377" s="5">
        <f t="shared" si="10"/>
        <v>363</v>
      </c>
      <c r="B377" s="10">
        <f>'CLIENT ENROLLMENT DISCHARGE '!B377</f>
        <v>0</v>
      </c>
      <c r="C377" s="4">
        <f>'CLIENT ENROLLMENT DISCHARGE '!C377</f>
        <v>0</v>
      </c>
      <c r="D377" s="51"/>
      <c r="E377" s="52"/>
      <c r="F377" s="51"/>
      <c r="G377" s="52"/>
      <c r="H377" s="62"/>
      <c r="I377" s="115"/>
      <c r="J377" s="9"/>
      <c r="K377" s="70"/>
      <c r="L377" s="52"/>
      <c r="M377" s="8"/>
      <c r="N377" s="7"/>
      <c r="O377" s="218">
        <f t="shared" si="11"/>
        <v>0</v>
      </c>
      <c r="P377" s="218">
        <f>O377+OCT!P377</f>
        <v>0</v>
      </c>
      <c r="Q377" s="59"/>
      <c r="R377" s="51"/>
      <c r="S377" s="65"/>
      <c r="T377" s="64"/>
      <c r="U377" s="67"/>
      <c r="V377" s="74"/>
      <c r="W377" s="6">
        <f>'CLIENT ENROLLMENT DISCHARGE '!M377</f>
        <v>0</v>
      </c>
      <c r="X377" s="76"/>
      <c r="Y377" s="180"/>
    </row>
    <row r="378" spans="1:25" ht="50.1" customHeight="1" x14ac:dyDescent="0.25">
      <c r="A378" s="5">
        <f t="shared" si="10"/>
        <v>364</v>
      </c>
      <c r="B378" s="10">
        <f>'CLIENT ENROLLMENT DISCHARGE '!B378</f>
        <v>0</v>
      </c>
      <c r="C378" s="4">
        <f>'CLIENT ENROLLMENT DISCHARGE '!C378</f>
        <v>0</v>
      </c>
      <c r="D378" s="52"/>
      <c r="E378" s="53"/>
      <c r="F378" s="52"/>
      <c r="G378" s="53"/>
      <c r="H378" s="63"/>
      <c r="I378" s="116"/>
      <c r="J378" s="3"/>
      <c r="K378" s="71"/>
      <c r="L378" s="53"/>
      <c r="M378" s="2"/>
      <c r="N378" s="1"/>
      <c r="O378" s="218">
        <f t="shared" si="11"/>
        <v>0</v>
      </c>
      <c r="P378" s="218">
        <f>O378+OCT!P378</f>
        <v>0</v>
      </c>
      <c r="Q378" s="60"/>
      <c r="R378" s="52"/>
      <c r="S378" s="66"/>
      <c r="T378" s="65"/>
      <c r="U378" s="68"/>
      <c r="V378" s="59"/>
      <c r="W378" s="6">
        <f>'CLIENT ENROLLMENT DISCHARGE '!M378</f>
        <v>0</v>
      </c>
      <c r="X378" s="76"/>
      <c r="Y378" s="180"/>
    </row>
    <row r="379" spans="1:25" ht="50.1" customHeight="1" x14ac:dyDescent="0.25">
      <c r="A379" s="5">
        <f t="shared" si="10"/>
        <v>365</v>
      </c>
      <c r="B379" s="10">
        <f>'CLIENT ENROLLMENT DISCHARGE '!B379</f>
        <v>0</v>
      </c>
      <c r="C379" s="4">
        <f>'CLIENT ENROLLMENT DISCHARGE '!C379</f>
        <v>0</v>
      </c>
      <c r="D379" s="51"/>
      <c r="E379" s="52"/>
      <c r="F379" s="51"/>
      <c r="G379" s="52"/>
      <c r="H379" s="62"/>
      <c r="I379" s="115"/>
      <c r="J379" s="9"/>
      <c r="K379" s="70"/>
      <c r="L379" s="52"/>
      <c r="M379" s="8"/>
      <c r="N379" s="7"/>
      <c r="O379" s="218">
        <f t="shared" si="11"/>
        <v>0</v>
      </c>
      <c r="P379" s="218">
        <f>O379+OCT!P379</f>
        <v>0</v>
      </c>
      <c r="Q379" s="59"/>
      <c r="R379" s="51"/>
      <c r="S379" s="65"/>
      <c r="T379" s="64"/>
      <c r="U379" s="67"/>
      <c r="V379" s="74"/>
      <c r="W379" s="6">
        <f>'CLIENT ENROLLMENT DISCHARGE '!M379</f>
        <v>0</v>
      </c>
      <c r="X379" s="76"/>
      <c r="Y379" s="180"/>
    </row>
    <row r="380" spans="1:25" ht="50.1" customHeight="1" x14ac:dyDescent="0.25">
      <c r="A380" s="5">
        <f t="shared" si="10"/>
        <v>366</v>
      </c>
      <c r="B380" s="10">
        <f>'CLIENT ENROLLMENT DISCHARGE '!B380</f>
        <v>0</v>
      </c>
      <c r="C380" s="4">
        <f>'CLIENT ENROLLMENT DISCHARGE '!C380</f>
        <v>0</v>
      </c>
      <c r="D380" s="52"/>
      <c r="E380" s="53"/>
      <c r="F380" s="52"/>
      <c r="G380" s="53"/>
      <c r="H380" s="63"/>
      <c r="I380" s="116"/>
      <c r="J380" s="3"/>
      <c r="K380" s="71"/>
      <c r="L380" s="53"/>
      <c r="M380" s="2"/>
      <c r="N380" s="1"/>
      <c r="O380" s="218">
        <f t="shared" si="11"/>
        <v>0</v>
      </c>
      <c r="P380" s="218">
        <f>O380+OCT!P380</f>
        <v>0</v>
      </c>
      <c r="Q380" s="60"/>
      <c r="R380" s="52"/>
      <c r="S380" s="66"/>
      <c r="T380" s="65"/>
      <c r="U380" s="68"/>
      <c r="V380" s="75"/>
      <c r="W380" s="6">
        <f>'CLIENT ENROLLMENT DISCHARGE '!M380</f>
        <v>0</v>
      </c>
      <c r="X380" s="76"/>
      <c r="Y380" s="180"/>
    </row>
    <row r="381" spans="1:25" ht="50.1" customHeight="1" x14ac:dyDescent="0.25">
      <c r="A381" s="5">
        <f t="shared" si="10"/>
        <v>367</v>
      </c>
      <c r="B381" s="10">
        <f>'CLIENT ENROLLMENT DISCHARGE '!B381</f>
        <v>0</v>
      </c>
      <c r="C381" s="4">
        <f>'CLIENT ENROLLMENT DISCHARGE '!C381</f>
        <v>0</v>
      </c>
      <c r="D381" s="51"/>
      <c r="E381" s="52"/>
      <c r="F381" s="51"/>
      <c r="G381" s="52"/>
      <c r="H381" s="62"/>
      <c r="I381" s="115"/>
      <c r="J381" s="9"/>
      <c r="K381" s="70"/>
      <c r="L381" s="52"/>
      <c r="M381" s="8"/>
      <c r="N381" s="7"/>
      <c r="O381" s="218">
        <f t="shared" si="11"/>
        <v>0</v>
      </c>
      <c r="P381" s="218">
        <f>O381+OCT!P381</f>
        <v>0</v>
      </c>
      <c r="Q381" s="59"/>
      <c r="R381" s="51"/>
      <c r="S381" s="65"/>
      <c r="T381" s="64"/>
      <c r="U381" s="67"/>
      <c r="V381" s="74"/>
      <c r="W381" s="6">
        <f>'CLIENT ENROLLMENT DISCHARGE '!M381</f>
        <v>0</v>
      </c>
      <c r="X381" s="76"/>
      <c r="Y381" s="180"/>
    </row>
    <row r="382" spans="1:25" ht="50.1" customHeight="1" x14ac:dyDescent="0.25">
      <c r="A382" s="5">
        <f t="shared" si="10"/>
        <v>368</v>
      </c>
      <c r="B382" s="10">
        <f>'CLIENT ENROLLMENT DISCHARGE '!B382</f>
        <v>0</v>
      </c>
      <c r="C382" s="4">
        <f>'CLIENT ENROLLMENT DISCHARGE '!C382</f>
        <v>0</v>
      </c>
      <c r="D382" s="52"/>
      <c r="E382" s="53"/>
      <c r="F382" s="52"/>
      <c r="G382" s="53"/>
      <c r="H382" s="63"/>
      <c r="I382" s="116"/>
      <c r="J382" s="3"/>
      <c r="K382" s="71"/>
      <c r="L382" s="53"/>
      <c r="M382" s="2"/>
      <c r="N382" s="1"/>
      <c r="O382" s="218">
        <f t="shared" si="11"/>
        <v>0</v>
      </c>
      <c r="P382" s="218">
        <f>O382+OCT!P382</f>
        <v>0</v>
      </c>
      <c r="Q382" s="60"/>
      <c r="R382" s="52"/>
      <c r="S382" s="66"/>
      <c r="T382" s="65"/>
      <c r="U382" s="68"/>
      <c r="V382" s="59"/>
      <c r="W382" s="6">
        <f>'CLIENT ENROLLMENT DISCHARGE '!M382</f>
        <v>0</v>
      </c>
      <c r="X382" s="76"/>
      <c r="Y382" s="180"/>
    </row>
    <row r="383" spans="1:25" ht="50.1" customHeight="1" x14ac:dyDescent="0.25">
      <c r="A383" s="5">
        <f t="shared" si="10"/>
        <v>369</v>
      </c>
      <c r="B383" s="10">
        <f>'CLIENT ENROLLMENT DISCHARGE '!B383</f>
        <v>0</v>
      </c>
      <c r="C383" s="4">
        <f>'CLIENT ENROLLMENT DISCHARGE '!C383</f>
        <v>0</v>
      </c>
      <c r="D383" s="51"/>
      <c r="E383" s="52"/>
      <c r="F383" s="51"/>
      <c r="G383" s="52"/>
      <c r="H383" s="62"/>
      <c r="I383" s="115"/>
      <c r="J383" s="9"/>
      <c r="K383" s="70"/>
      <c r="L383" s="52"/>
      <c r="M383" s="8"/>
      <c r="N383" s="7"/>
      <c r="O383" s="218">
        <f t="shared" si="11"/>
        <v>0</v>
      </c>
      <c r="P383" s="218">
        <f>O383+OCT!P383</f>
        <v>0</v>
      </c>
      <c r="Q383" s="59"/>
      <c r="R383" s="51"/>
      <c r="S383" s="65"/>
      <c r="T383" s="64"/>
      <c r="U383" s="67"/>
      <c r="V383" s="74"/>
      <c r="W383" s="6">
        <f>'CLIENT ENROLLMENT DISCHARGE '!M383</f>
        <v>0</v>
      </c>
      <c r="X383" s="76"/>
      <c r="Y383" s="180"/>
    </row>
    <row r="384" spans="1:25" ht="50.1" customHeight="1" x14ac:dyDescent="0.25">
      <c r="A384" s="5">
        <f t="shared" si="10"/>
        <v>370</v>
      </c>
      <c r="B384" s="10">
        <f>'CLIENT ENROLLMENT DISCHARGE '!B384</f>
        <v>0</v>
      </c>
      <c r="C384" s="4">
        <f>'CLIENT ENROLLMENT DISCHARGE '!C384</f>
        <v>0</v>
      </c>
      <c r="D384" s="52"/>
      <c r="E384" s="53"/>
      <c r="F384" s="52"/>
      <c r="G384" s="53"/>
      <c r="H384" s="63"/>
      <c r="I384" s="116"/>
      <c r="J384" s="3"/>
      <c r="K384" s="71"/>
      <c r="L384" s="53"/>
      <c r="M384" s="2"/>
      <c r="N384" s="1"/>
      <c r="O384" s="218">
        <f t="shared" si="11"/>
        <v>0</v>
      </c>
      <c r="P384" s="218">
        <f>O384+OCT!P384</f>
        <v>0</v>
      </c>
      <c r="Q384" s="60"/>
      <c r="R384" s="52"/>
      <c r="S384" s="66"/>
      <c r="T384" s="65"/>
      <c r="U384" s="68"/>
      <c r="V384" s="59"/>
      <c r="W384" s="6">
        <f>'CLIENT ENROLLMENT DISCHARGE '!M384</f>
        <v>0</v>
      </c>
      <c r="X384" s="76"/>
      <c r="Y384" s="180"/>
    </row>
    <row r="385" spans="1:25" ht="50.1" customHeight="1" x14ac:dyDescent="0.25">
      <c r="A385" s="5">
        <f t="shared" si="10"/>
        <v>371</v>
      </c>
      <c r="B385" s="10">
        <f>'CLIENT ENROLLMENT DISCHARGE '!B385</f>
        <v>0</v>
      </c>
      <c r="C385" s="4">
        <f>'CLIENT ENROLLMENT DISCHARGE '!C385</f>
        <v>0</v>
      </c>
      <c r="D385" s="51"/>
      <c r="E385" s="52"/>
      <c r="F385" s="51"/>
      <c r="G385" s="52"/>
      <c r="H385" s="62"/>
      <c r="I385" s="115"/>
      <c r="J385" s="9"/>
      <c r="K385" s="70"/>
      <c r="L385" s="52"/>
      <c r="M385" s="8"/>
      <c r="N385" s="7"/>
      <c r="O385" s="218">
        <f t="shared" si="11"/>
        <v>0</v>
      </c>
      <c r="P385" s="218">
        <f>O385+OCT!P385</f>
        <v>0</v>
      </c>
      <c r="Q385" s="59"/>
      <c r="R385" s="51"/>
      <c r="S385" s="65"/>
      <c r="T385" s="64"/>
      <c r="U385" s="67"/>
      <c r="V385" s="74"/>
      <c r="W385" s="6">
        <f>'CLIENT ENROLLMENT DISCHARGE '!M385</f>
        <v>0</v>
      </c>
      <c r="X385" s="76"/>
      <c r="Y385" s="180"/>
    </row>
    <row r="386" spans="1:25" ht="50.1" customHeight="1" x14ac:dyDescent="0.25">
      <c r="A386" s="5">
        <f t="shared" si="10"/>
        <v>372</v>
      </c>
      <c r="B386" s="10">
        <f>'CLIENT ENROLLMENT DISCHARGE '!B386</f>
        <v>0</v>
      </c>
      <c r="C386" s="4">
        <f>'CLIENT ENROLLMENT DISCHARGE '!C386</f>
        <v>0</v>
      </c>
      <c r="D386" s="52"/>
      <c r="E386" s="53"/>
      <c r="F386" s="52"/>
      <c r="G386" s="53"/>
      <c r="H386" s="63"/>
      <c r="I386" s="116"/>
      <c r="J386" s="3"/>
      <c r="K386" s="71"/>
      <c r="L386" s="53"/>
      <c r="M386" s="2"/>
      <c r="N386" s="1"/>
      <c r="O386" s="218">
        <f t="shared" si="11"/>
        <v>0</v>
      </c>
      <c r="P386" s="218">
        <f>O386+OCT!P386</f>
        <v>0</v>
      </c>
      <c r="Q386" s="60"/>
      <c r="R386" s="52"/>
      <c r="S386" s="66"/>
      <c r="T386" s="65"/>
      <c r="U386" s="68"/>
      <c r="V386" s="59"/>
      <c r="W386" s="6">
        <f>'CLIENT ENROLLMENT DISCHARGE '!M386</f>
        <v>0</v>
      </c>
      <c r="X386" s="76"/>
      <c r="Y386" s="180"/>
    </row>
    <row r="387" spans="1:25" ht="50.1" customHeight="1" x14ac:dyDescent="0.25">
      <c r="A387" s="5">
        <f t="shared" si="10"/>
        <v>373</v>
      </c>
      <c r="B387" s="10">
        <f>'CLIENT ENROLLMENT DISCHARGE '!B387</f>
        <v>0</v>
      </c>
      <c r="C387" s="4">
        <f>'CLIENT ENROLLMENT DISCHARGE '!C387</f>
        <v>0</v>
      </c>
      <c r="D387" s="51"/>
      <c r="E387" s="52"/>
      <c r="F387" s="51"/>
      <c r="G387" s="52"/>
      <c r="H387" s="62"/>
      <c r="I387" s="115"/>
      <c r="J387" s="9"/>
      <c r="K387" s="70"/>
      <c r="L387" s="52"/>
      <c r="M387" s="8"/>
      <c r="N387" s="7"/>
      <c r="O387" s="218">
        <f t="shared" si="11"/>
        <v>0</v>
      </c>
      <c r="P387" s="218">
        <f>O387+OCT!P387</f>
        <v>0</v>
      </c>
      <c r="Q387" s="59"/>
      <c r="R387" s="51"/>
      <c r="S387" s="65"/>
      <c r="T387" s="64"/>
      <c r="U387" s="67"/>
      <c r="V387" s="74"/>
      <c r="W387" s="6">
        <f>'CLIENT ENROLLMENT DISCHARGE '!M387</f>
        <v>0</v>
      </c>
      <c r="X387" s="76"/>
      <c r="Y387" s="180"/>
    </row>
    <row r="388" spans="1:25" ht="50.1" customHeight="1" x14ac:dyDescent="0.25">
      <c r="A388" s="5">
        <f t="shared" si="10"/>
        <v>374</v>
      </c>
      <c r="B388" s="10">
        <f>'CLIENT ENROLLMENT DISCHARGE '!B388</f>
        <v>0</v>
      </c>
      <c r="C388" s="4">
        <f>'CLIENT ENROLLMENT DISCHARGE '!C388</f>
        <v>0</v>
      </c>
      <c r="D388" s="52"/>
      <c r="E388" s="53"/>
      <c r="F388" s="52"/>
      <c r="G388" s="53"/>
      <c r="H388" s="63"/>
      <c r="I388" s="116"/>
      <c r="J388" s="3"/>
      <c r="K388" s="71"/>
      <c r="L388" s="53"/>
      <c r="M388" s="2"/>
      <c r="N388" s="1"/>
      <c r="O388" s="218">
        <f t="shared" si="11"/>
        <v>0</v>
      </c>
      <c r="P388" s="218">
        <f>O388+OCT!P388</f>
        <v>0</v>
      </c>
      <c r="Q388" s="60"/>
      <c r="R388" s="52"/>
      <c r="S388" s="66"/>
      <c r="T388" s="65"/>
      <c r="U388" s="68"/>
      <c r="V388" s="59"/>
      <c r="W388" s="6">
        <f>'CLIENT ENROLLMENT DISCHARGE '!M388</f>
        <v>0</v>
      </c>
      <c r="X388" s="76"/>
      <c r="Y388" s="180"/>
    </row>
    <row r="389" spans="1:25" ht="50.1" customHeight="1" x14ac:dyDescent="0.25">
      <c r="A389" s="5">
        <f t="shared" si="10"/>
        <v>375</v>
      </c>
      <c r="B389" s="10">
        <f>'CLIENT ENROLLMENT DISCHARGE '!B389</f>
        <v>0</v>
      </c>
      <c r="C389" s="4">
        <f>'CLIENT ENROLLMENT DISCHARGE '!C389</f>
        <v>0</v>
      </c>
      <c r="D389" s="51"/>
      <c r="E389" s="52"/>
      <c r="F389" s="51"/>
      <c r="G389" s="52"/>
      <c r="H389" s="62"/>
      <c r="I389" s="115"/>
      <c r="J389" s="9"/>
      <c r="K389" s="70"/>
      <c r="L389" s="52"/>
      <c r="M389" s="8"/>
      <c r="N389" s="7"/>
      <c r="O389" s="218">
        <f t="shared" si="11"/>
        <v>0</v>
      </c>
      <c r="P389" s="218">
        <f>O389+OCT!P389</f>
        <v>0</v>
      </c>
      <c r="Q389" s="59"/>
      <c r="R389" s="51"/>
      <c r="S389" s="65"/>
      <c r="T389" s="64"/>
      <c r="U389" s="67"/>
      <c r="V389" s="74"/>
      <c r="W389" s="6">
        <f>'CLIENT ENROLLMENT DISCHARGE '!M389</f>
        <v>0</v>
      </c>
      <c r="X389" s="76"/>
      <c r="Y389" s="180"/>
    </row>
    <row r="390" spans="1:25" ht="50.1" customHeight="1" x14ac:dyDescent="0.25">
      <c r="A390" s="5">
        <f t="shared" si="10"/>
        <v>376</v>
      </c>
      <c r="B390" s="10">
        <f>'CLIENT ENROLLMENT DISCHARGE '!B390</f>
        <v>0</v>
      </c>
      <c r="C390" s="4">
        <f>'CLIENT ENROLLMENT DISCHARGE '!C390</f>
        <v>0</v>
      </c>
      <c r="D390" s="52"/>
      <c r="E390" s="53"/>
      <c r="F390" s="52"/>
      <c r="G390" s="53"/>
      <c r="H390" s="63"/>
      <c r="I390" s="116"/>
      <c r="J390" s="3"/>
      <c r="K390" s="71"/>
      <c r="L390" s="53"/>
      <c r="M390" s="2"/>
      <c r="N390" s="1"/>
      <c r="O390" s="218">
        <f t="shared" si="11"/>
        <v>0</v>
      </c>
      <c r="P390" s="218">
        <f>O390+OCT!P390</f>
        <v>0</v>
      </c>
      <c r="Q390" s="60"/>
      <c r="R390" s="52"/>
      <c r="S390" s="66"/>
      <c r="T390" s="65"/>
      <c r="U390" s="68"/>
      <c r="V390" s="75"/>
      <c r="W390" s="6">
        <f>'CLIENT ENROLLMENT DISCHARGE '!M390</f>
        <v>0</v>
      </c>
      <c r="X390" s="76"/>
      <c r="Y390" s="180"/>
    </row>
    <row r="391" spans="1:25" ht="50.1" customHeight="1" x14ac:dyDescent="0.25">
      <c r="A391" s="5">
        <f t="shared" si="10"/>
        <v>377</v>
      </c>
      <c r="B391" s="10">
        <f>'CLIENT ENROLLMENT DISCHARGE '!B391</f>
        <v>0</v>
      </c>
      <c r="C391" s="4">
        <f>'CLIENT ENROLLMENT DISCHARGE '!C391</f>
        <v>0</v>
      </c>
      <c r="D391" s="51"/>
      <c r="E391" s="52"/>
      <c r="F391" s="51"/>
      <c r="G391" s="52"/>
      <c r="H391" s="62"/>
      <c r="I391" s="115"/>
      <c r="J391" s="9"/>
      <c r="K391" s="70"/>
      <c r="L391" s="52"/>
      <c r="M391" s="8"/>
      <c r="N391" s="7"/>
      <c r="O391" s="218">
        <f t="shared" si="11"/>
        <v>0</v>
      </c>
      <c r="P391" s="218">
        <f>O391+OCT!P391</f>
        <v>0</v>
      </c>
      <c r="Q391" s="59"/>
      <c r="R391" s="51"/>
      <c r="S391" s="65"/>
      <c r="T391" s="64"/>
      <c r="U391" s="67"/>
      <c r="V391" s="74"/>
      <c r="W391" s="6">
        <f>'CLIENT ENROLLMENT DISCHARGE '!M391</f>
        <v>0</v>
      </c>
      <c r="X391" s="76"/>
      <c r="Y391" s="180"/>
    </row>
    <row r="392" spans="1:25" ht="50.1" customHeight="1" x14ac:dyDescent="0.25">
      <c r="A392" s="5">
        <f t="shared" si="10"/>
        <v>378</v>
      </c>
      <c r="B392" s="10">
        <f>'CLIENT ENROLLMENT DISCHARGE '!B392</f>
        <v>0</v>
      </c>
      <c r="C392" s="4">
        <f>'CLIENT ENROLLMENT DISCHARGE '!C392</f>
        <v>0</v>
      </c>
      <c r="D392" s="52"/>
      <c r="E392" s="53"/>
      <c r="F392" s="52"/>
      <c r="G392" s="53"/>
      <c r="H392" s="63"/>
      <c r="I392" s="116"/>
      <c r="J392" s="3"/>
      <c r="K392" s="71"/>
      <c r="L392" s="53"/>
      <c r="M392" s="2"/>
      <c r="N392" s="1"/>
      <c r="O392" s="218">
        <f t="shared" si="11"/>
        <v>0</v>
      </c>
      <c r="P392" s="218">
        <f>O392+OCT!P392</f>
        <v>0</v>
      </c>
      <c r="Q392" s="60"/>
      <c r="R392" s="52"/>
      <c r="S392" s="66"/>
      <c r="T392" s="65"/>
      <c r="U392" s="68"/>
      <c r="V392" s="59"/>
      <c r="W392" s="6">
        <f>'CLIENT ENROLLMENT DISCHARGE '!M392</f>
        <v>0</v>
      </c>
      <c r="X392" s="76"/>
      <c r="Y392" s="180"/>
    </row>
    <row r="393" spans="1:25" ht="50.1" customHeight="1" x14ac:dyDescent="0.25">
      <c r="A393" s="5">
        <f t="shared" si="10"/>
        <v>379</v>
      </c>
      <c r="B393" s="10">
        <f>'CLIENT ENROLLMENT DISCHARGE '!B393</f>
        <v>0</v>
      </c>
      <c r="C393" s="4">
        <f>'CLIENT ENROLLMENT DISCHARGE '!C393</f>
        <v>0</v>
      </c>
      <c r="D393" s="51"/>
      <c r="E393" s="52"/>
      <c r="F393" s="51"/>
      <c r="G393" s="52"/>
      <c r="H393" s="62"/>
      <c r="I393" s="115"/>
      <c r="J393" s="9"/>
      <c r="K393" s="70"/>
      <c r="L393" s="52"/>
      <c r="M393" s="8"/>
      <c r="N393" s="7"/>
      <c r="O393" s="218">
        <f t="shared" si="11"/>
        <v>0</v>
      </c>
      <c r="P393" s="218">
        <f>O393+OCT!P393</f>
        <v>0</v>
      </c>
      <c r="Q393" s="59"/>
      <c r="R393" s="51"/>
      <c r="S393" s="65"/>
      <c r="T393" s="64"/>
      <c r="U393" s="67"/>
      <c r="V393" s="74"/>
      <c r="W393" s="6">
        <f>'CLIENT ENROLLMENT DISCHARGE '!M393</f>
        <v>0</v>
      </c>
      <c r="X393" s="76"/>
      <c r="Y393" s="180"/>
    </row>
    <row r="394" spans="1:25" ht="50.1" customHeight="1" x14ac:dyDescent="0.25">
      <c r="A394" s="5">
        <f t="shared" si="10"/>
        <v>380</v>
      </c>
      <c r="B394" s="10">
        <f>'CLIENT ENROLLMENT DISCHARGE '!B394</f>
        <v>0</v>
      </c>
      <c r="C394" s="4">
        <f>'CLIENT ENROLLMENT DISCHARGE '!C394</f>
        <v>0</v>
      </c>
      <c r="D394" s="52"/>
      <c r="E394" s="53"/>
      <c r="F394" s="52"/>
      <c r="G394" s="53"/>
      <c r="H394" s="63"/>
      <c r="I394" s="116"/>
      <c r="J394" s="3"/>
      <c r="K394" s="71"/>
      <c r="L394" s="53"/>
      <c r="M394" s="2"/>
      <c r="N394" s="1"/>
      <c r="O394" s="218">
        <f t="shared" si="11"/>
        <v>0</v>
      </c>
      <c r="P394" s="218">
        <f>O394+OCT!P394</f>
        <v>0</v>
      </c>
      <c r="Q394" s="60"/>
      <c r="R394" s="52"/>
      <c r="S394" s="66"/>
      <c r="T394" s="65"/>
      <c r="U394" s="68"/>
      <c r="V394" s="59"/>
      <c r="W394" s="6">
        <f>'CLIENT ENROLLMENT DISCHARGE '!M394</f>
        <v>0</v>
      </c>
      <c r="X394" s="76"/>
      <c r="Y394" s="180"/>
    </row>
    <row r="395" spans="1:25" ht="50.1" customHeight="1" x14ac:dyDescent="0.25">
      <c r="A395" s="5">
        <f t="shared" si="10"/>
        <v>381</v>
      </c>
      <c r="B395" s="10">
        <f>'CLIENT ENROLLMENT DISCHARGE '!B395</f>
        <v>0</v>
      </c>
      <c r="C395" s="4">
        <f>'CLIENT ENROLLMENT DISCHARGE '!C395</f>
        <v>0</v>
      </c>
      <c r="D395" s="51"/>
      <c r="E395" s="52"/>
      <c r="F395" s="51"/>
      <c r="G395" s="52"/>
      <c r="H395" s="62"/>
      <c r="I395" s="115"/>
      <c r="J395" s="9"/>
      <c r="K395" s="70"/>
      <c r="L395" s="52"/>
      <c r="M395" s="8"/>
      <c r="N395" s="7"/>
      <c r="O395" s="218">
        <f t="shared" si="11"/>
        <v>0</v>
      </c>
      <c r="P395" s="218">
        <f>O395+OCT!P395</f>
        <v>0</v>
      </c>
      <c r="Q395" s="59"/>
      <c r="R395" s="51"/>
      <c r="S395" s="65"/>
      <c r="T395" s="64"/>
      <c r="U395" s="67"/>
      <c r="V395" s="74"/>
      <c r="W395" s="6">
        <f>'CLIENT ENROLLMENT DISCHARGE '!M395</f>
        <v>0</v>
      </c>
      <c r="X395" s="76"/>
      <c r="Y395" s="180"/>
    </row>
    <row r="396" spans="1:25" ht="50.1" customHeight="1" x14ac:dyDescent="0.25">
      <c r="A396" s="5">
        <f t="shared" si="10"/>
        <v>382</v>
      </c>
      <c r="B396" s="10">
        <f>'CLIENT ENROLLMENT DISCHARGE '!B396</f>
        <v>0</v>
      </c>
      <c r="C396" s="4">
        <f>'CLIENT ENROLLMENT DISCHARGE '!C396</f>
        <v>0</v>
      </c>
      <c r="D396" s="52"/>
      <c r="E396" s="53"/>
      <c r="F396" s="52"/>
      <c r="G396" s="53"/>
      <c r="H396" s="63"/>
      <c r="I396" s="116"/>
      <c r="J396" s="3"/>
      <c r="K396" s="71"/>
      <c r="L396" s="53"/>
      <c r="M396" s="2"/>
      <c r="N396" s="1"/>
      <c r="O396" s="218">
        <f t="shared" si="11"/>
        <v>0</v>
      </c>
      <c r="P396" s="218">
        <f>O396+OCT!P396</f>
        <v>0</v>
      </c>
      <c r="Q396" s="60"/>
      <c r="R396" s="52"/>
      <c r="S396" s="66"/>
      <c r="T396" s="65"/>
      <c r="U396" s="68"/>
      <c r="V396" s="59"/>
      <c r="W396" s="6">
        <f>'CLIENT ENROLLMENT DISCHARGE '!M396</f>
        <v>0</v>
      </c>
      <c r="X396" s="76"/>
      <c r="Y396" s="180"/>
    </row>
    <row r="397" spans="1:25" ht="50.1" customHeight="1" x14ac:dyDescent="0.25">
      <c r="A397" s="5">
        <f t="shared" si="10"/>
        <v>383</v>
      </c>
      <c r="B397" s="10">
        <f>'CLIENT ENROLLMENT DISCHARGE '!B397</f>
        <v>0</v>
      </c>
      <c r="C397" s="4">
        <f>'CLIENT ENROLLMENT DISCHARGE '!C397</f>
        <v>0</v>
      </c>
      <c r="D397" s="51"/>
      <c r="E397" s="52"/>
      <c r="F397" s="51"/>
      <c r="G397" s="52"/>
      <c r="H397" s="62"/>
      <c r="I397" s="115"/>
      <c r="J397" s="9"/>
      <c r="K397" s="70"/>
      <c r="L397" s="52"/>
      <c r="M397" s="8"/>
      <c r="N397" s="7"/>
      <c r="O397" s="218">
        <f t="shared" si="11"/>
        <v>0</v>
      </c>
      <c r="P397" s="218">
        <f>O397+OCT!P397</f>
        <v>0</v>
      </c>
      <c r="Q397" s="59"/>
      <c r="R397" s="51"/>
      <c r="S397" s="65"/>
      <c r="T397" s="64"/>
      <c r="U397" s="67"/>
      <c r="V397" s="74"/>
      <c r="W397" s="6">
        <f>'CLIENT ENROLLMENT DISCHARGE '!M397</f>
        <v>0</v>
      </c>
      <c r="X397" s="76"/>
      <c r="Y397" s="180"/>
    </row>
    <row r="398" spans="1:25" ht="50.1" customHeight="1" x14ac:dyDescent="0.25">
      <c r="A398" s="5">
        <f t="shared" si="10"/>
        <v>384</v>
      </c>
      <c r="B398" s="10">
        <f>'CLIENT ENROLLMENT DISCHARGE '!B398</f>
        <v>0</v>
      </c>
      <c r="C398" s="4">
        <f>'CLIENT ENROLLMENT DISCHARGE '!C398</f>
        <v>0</v>
      </c>
      <c r="D398" s="52"/>
      <c r="E398" s="53"/>
      <c r="F398" s="52"/>
      <c r="G398" s="53"/>
      <c r="H398" s="63"/>
      <c r="I398" s="116"/>
      <c r="J398" s="3"/>
      <c r="K398" s="71"/>
      <c r="L398" s="53"/>
      <c r="M398" s="2"/>
      <c r="N398" s="1"/>
      <c r="O398" s="218">
        <f t="shared" si="11"/>
        <v>0</v>
      </c>
      <c r="P398" s="218">
        <f>O398+OCT!P398</f>
        <v>0</v>
      </c>
      <c r="Q398" s="60"/>
      <c r="R398" s="52"/>
      <c r="S398" s="66"/>
      <c r="T398" s="65"/>
      <c r="U398" s="68"/>
      <c r="V398" s="59"/>
      <c r="W398" s="6">
        <f>'CLIENT ENROLLMENT DISCHARGE '!M398</f>
        <v>0</v>
      </c>
      <c r="X398" s="76"/>
      <c r="Y398" s="180"/>
    </row>
    <row r="399" spans="1:25" ht="50.1" customHeight="1" x14ac:dyDescent="0.25">
      <c r="A399" s="5">
        <f t="shared" si="10"/>
        <v>385</v>
      </c>
      <c r="B399" s="10">
        <f>'CLIENT ENROLLMENT DISCHARGE '!B399</f>
        <v>0</v>
      </c>
      <c r="C399" s="4">
        <f>'CLIENT ENROLLMENT DISCHARGE '!C399</f>
        <v>0</v>
      </c>
      <c r="D399" s="51"/>
      <c r="E399" s="52"/>
      <c r="F399" s="51"/>
      <c r="G399" s="52"/>
      <c r="H399" s="62"/>
      <c r="I399" s="115"/>
      <c r="J399" s="9"/>
      <c r="K399" s="70"/>
      <c r="L399" s="52"/>
      <c r="M399" s="8"/>
      <c r="N399" s="7"/>
      <c r="O399" s="218">
        <f t="shared" si="11"/>
        <v>0</v>
      </c>
      <c r="P399" s="218">
        <f>O399+OCT!P399</f>
        <v>0</v>
      </c>
      <c r="Q399" s="59"/>
      <c r="R399" s="51"/>
      <c r="S399" s="65"/>
      <c r="T399" s="64"/>
      <c r="U399" s="67"/>
      <c r="V399" s="74"/>
      <c r="W399" s="6">
        <f>'CLIENT ENROLLMENT DISCHARGE '!M399</f>
        <v>0</v>
      </c>
      <c r="X399" s="76"/>
      <c r="Y399" s="180"/>
    </row>
    <row r="400" spans="1:25" ht="50.1" customHeight="1" x14ac:dyDescent="0.25">
      <c r="A400" s="5">
        <f t="shared" ref="A400:A463" si="12">ROW(A386)</f>
        <v>386</v>
      </c>
      <c r="B400" s="10">
        <f>'CLIENT ENROLLMENT DISCHARGE '!B400</f>
        <v>0</v>
      </c>
      <c r="C400" s="4">
        <f>'CLIENT ENROLLMENT DISCHARGE '!C400</f>
        <v>0</v>
      </c>
      <c r="D400" s="52"/>
      <c r="E400" s="53"/>
      <c r="F400" s="52"/>
      <c r="G400" s="53"/>
      <c r="H400" s="63"/>
      <c r="I400" s="116"/>
      <c r="J400" s="3"/>
      <c r="K400" s="71"/>
      <c r="L400" s="53"/>
      <c r="M400" s="2"/>
      <c r="N400" s="1"/>
      <c r="O400" s="218">
        <f t="shared" ref="O400:O463" si="13">K400*N400</f>
        <v>0</v>
      </c>
      <c r="P400" s="218">
        <f>O400+OCT!P400</f>
        <v>0</v>
      </c>
      <c r="Q400" s="60"/>
      <c r="R400" s="52"/>
      <c r="S400" s="66"/>
      <c r="T400" s="65"/>
      <c r="U400" s="68"/>
      <c r="V400" s="75"/>
      <c r="W400" s="6">
        <f>'CLIENT ENROLLMENT DISCHARGE '!M400</f>
        <v>0</v>
      </c>
      <c r="X400" s="76"/>
      <c r="Y400" s="180"/>
    </row>
    <row r="401" spans="1:25" ht="50.1" customHeight="1" x14ac:dyDescent="0.25">
      <c r="A401" s="5">
        <f t="shared" si="12"/>
        <v>387</v>
      </c>
      <c r="B401" s="10">
        <f>'CLIENT ENROLLMENT DISCHARGE '!B401</f>
        <v>0</v>
      </c>
      <c r="C401" s="4">
        <f>'CLIENT ENROLLMENT DISCHARGE '!C401</f>
        <v>0</v>
      </c>
      <c r="D401" s="51"/>
      <c r="E401" s="52"/>
      <c r="F401" s="51"/>
      <c r="G401" s="52"/>
      <c r="H401" s="62"/>
      <c r="I401" s="115"/>
      <c r="J401" s="9"/>
      <c r="K401" s="70"/>
      <c r="L401" s="52"/>
      <c r="M401" s="8"/>
      <c r="N401" s="7"/>
      <c r="O401" s="218">
        <f t="shared" si="13"/>
        <v>0</v>
      </c>
      <c r="P401" s="218">
        <f>O401+OCT!P401</f>
        <v>0</v>
      </c>
      <c r="Q401" s="59"/>
      <c r="R401" s="51"/>
      <c r="S401" s="65"/>
      <c r="T401" s="64"/>
      <c r="U401" s="67"/>
      <c r="V401" s="74"/>
      <c r="W401" s="6">
        <f>'CLIENT ENROLLMENT DISCHARGE '!M401</f>
        <v>0</v>
      </c>
      <c r="X401" s="76"/>
      <c r="Y401" s="180"/>
    </row>
    <row r="402" spans="1:25" ht="50.1" customHeight="1" x14ac:dyDescent="0.25">
      <c r="A402" s="5">
        <f t="shared" si="12"/>
        <v>388</v>
      </c>
      <c r="B402" s="10">
        <f>'CLIENT ENROLLMENT DISCHARGE '!B402</f>
        <v>0</v>
      </c>
      <c r="C402" s="4">
        <f>'CLIENT ENROLLMENT DISCHARGE '!C402</f>
        <v>0</v>
      </c>
      <c r="D402" s="52"/>
      <c r="E402" s="53"/>
      <c r="F402" s="52"/>
      <c r="G402" s="53"/>
      <c r="H402" s="63"/>
      <c r="I402" s="116"/>
      <c r="J402" s="3"/>
      <c r="K402" s="71"/>
      <c r="L402" s="53"/>
      <c r="M402" s="2"/>
      <c r="N402" s="1"/>
      <c r="O402" s="218">
        <f t="shared" si="13"/>
        <v>0</v>
      </c>
      <c r="P402" s="218">
        <f>O402+OCT!P402</f>
        <v>0</v>
      </c>
      <c r="Q402" s="60"/>
      <c r="R402" s="52"/>
      <c r="S402" s="66"/>
      <c r="T402" s="65"/>
      <c r="U402" s="68"/>
      <c r="V402" s="59"/>
      <c r="W402" s="6">
        <f>'CLIENT ENROLLMENT DISCHARGE '!M402</f>
        <v>0</v>
      </c>
      <c r="X402" s="76"/>
      <c r="Y402" s="180"/>
    </row>
    <row r="403" spans="1:25" ht="50.1" customHeight="1" x14ac:dyDescent="0.25">
      <c r="A403" s="5">
        <f t="shared" si="12"/>
        <v>389</v>
      </c>
      <c r="B403" s="10">
        <f>'CLIENT ENROLLMENT DISCHARGE '!B403</f>
        <v>0</v>
      </c>
      <c r="C403" s="4">
        <f>'CLIENT ENROLLMENT DISCHARGE '!C403</f>
        <v>0</v>
      </c>
      <c r="D403" s="51"/>
      <c r="E403" s="52"/>
      <c r="F403" s="51"/>
      <c r="G403" s="52"/>
      <c r="H403" s="62"/>
      <c r="I403" s="115"/>
      <c r="J403" s="9"/>
      <c r="K403" s="70"/>
      <c r="L403" s="52"/>
      <c r="M403" s="8"/>
      <c r="N403" s="7"/>
      <c r="O403" s="218">
        <f t="shared" si="13"/>
        <v>0</v>
      </c>
      <c r="P403" s="218">
        <f>O403+OCT!P403</f>
        <v>0</v>
      </c>
      <c r="Q403" s="59"/>
      <c r="R403" s="51"/>
      <c r="S403" s="65"/>
      <c r="T403" s="64"/>
      <c r="U403" s="67"/>
      <c r="V403" s="74"/>
      <c r="W403" s="6">
        <f>'CLIENT ENROLLMENT DISCHARGE '!M403</f>
        <v>0</v>
      </c>
      <c r="X403" s="76"/>
      <c r="Y403" s="180"/>
    </row>
    <row r="404" spans="1:25" ht="50.1" customHeight="1" x14ac:dyDescent="0.25">
      <c r="A404" s="5">
        <f t="shared" si="12"/>
        <v>390</v>
      </c>
      <c r="B404" s="10">
        <f>'CLIENT ENROLLMENT DISCHARGE '!B404</f>
        <v>0</v>
      </c>
      <c r="C404" s="4">
        <f>'CLIENT ENROLLMENT DISCHARGE '!C404</f>
        <v>0</v>
      </c>
      <c r="D404" s="52"/>
      <c r="E404" s="53"/>
      <c r="F404" s="52"/>
      <c r="G404" s="53"/>
      <c r="H404" s="63"/>
      <c r="I404" s="116"/>
      <c r="J404" s="3"/>
      <c r="K404" s="71"/>
      <c r="L404" s="53"/>
      <c r="M404" s="2"/>
      <c r="N404" s="1"/>
      <c r="O404" s="218">
        <f t="shared" si="13"/>
        <v>0</v>
      </c>
      <c r="P404" s="218">
        <f>O404+OCT!P404</f>
        <v>0</v>
      </c>
      <c r="Q404" s="60"/>
      <c r="R404" s="52"/>
      <c r="S404" s="66"/>
      <c r="T404" s="65"/>
      <c r="U404" s="68"/>
      <c r="V404" s="59"/>
      <c r="W404" s="6">
        <f>'CLIENT ENROLLMENT DISCHARGE '!M404</f>
        <v>0</v>
      </c>
      <c r="X404" s="76"/>
      <c r="Y404" s="180"/>
    </row>
    <row r="405" spans="1:25" ht="50.1" customHeight="1" x14ac:dyDescent="0.25">
      <c r="A405" s="5">
        <f t="shared" si="12"/>
        <v>391</v>
      </c>
      <c r="B405" s="10">
        <f>'CLIENT ENROLLMENT DISCHARGE '!B405</f>
        <v>0</v>
      </c>
      <c r="C405" s="4">
        <f>'CLIENT ENROLLMENT DISCHARGE '!C405</f>
        <v>0</v>
      </c>
      <c r="D405" s="51"/>
      <c r="E405" s="52"/>
      <c r="F405" s="51"/>
      <c r="G405" s="52"/>
      <c r="H405" s="62"/>
      <c r="I405" s="115"/>
      <c r="J405" s="9"/>
      <c r="K405" s="70"/>
      <c r="L405" s="52"/>
      <c r="M405" s="8"/>
      <c r="N405" s="7"/>
      <c r="O405" s="218">
        <f t="shared" si="13"/>
        <v>0</v>
      </c>
      <c r="P405" s="218">
        <f>O405+OCT!P405</f>
        <v>0</v>
      </c>
      <c r="Q405" s="59"/>
      <c r="R405" s="51"/>
      <c r="S405" s="65"/>
      <c r="T405" s="64"/>
      <c r="U405" s="67"/>
      <c r="V405" s="74"/>
      <c r="W405" s="6">
        <f>'CLIENT ENROLLMENT DISCHARGE '!M405</f>
        <v>0</v>
      </c>
      <c r="X405" s="76"/>
      <c r="Y405" s="180"/>
    </row>
    <row r="406" spans="1:25" ht="50.1" customHeight="1" x14ac:dyDescent="0.25">
      <c r="A406" s="5">
        <f t="shared" si="12"/>
        <v>392</v>
      </c>
      <c r="B406" s="10">
        <f>'CLIENT ENROLLMENT DISCHARGE '!B406</f>
        <v>0</v>
      </c>
      <c r="C406" s="4">
        <f>'CLIENT ENROLLMENT DISCHARGE '!C406</f>
        <v>0</v>
      </c>
      <c r="D406" s="52"/>
      <c r="E406" s="53"/>
      <c r="F406" s="52"/>
      <c r="G406" s="53"/>
      <c r="H406" s="63"/>
      <c r="I406" s="116"/>
      <c r="J406" s="3"/>
      <c r="K406" s="71"/>
      <c r="L406" s="53"/>
      <c r="M406" s="2"/>
      <c r="N406" s="1"/>
      <c r="O406" s="218">
        <f t="shared" si="13"/>
        <v>0</v>
      </c>
      <c r="P406" s="218">
        <f>O406+OCT!P406</f>
        <v>0</v>
      </c>
      <c r="Q406" s="60"/>
      <c r="R406" s="52"/>
      <c r="S406" s="66"/>
      <c r="T406" s="65"/>
      <c r="U406" s="68"/>
      <c r="V406" s="59"/>
      <c r="W406" s="6">
        <f>'CLIENT ENROLLMENT DISCHARGE '!M406</f>
        <v>0</v>
      </c>
      <c r="X406" s="76"/>
      <c r="Y406" s="180"/>
    </row>
    <row r="407" spans="1:25" ht="50.1" customHeight="1" x14ac:dyDescent="0.25">
      <c r="A407" s="5">
        <f t="shared" si="12"/>
        <v>393</v>
      </c>
      <c r="B407" s="10">
        <f>'CLIENT ENROLLMENT DISCHARGE '!B407</f>
        <v>0</v>
      </c>
      <c r="C407" s="4">
        <f>'CLIENT ENROLLMENT DISCHARGE '!C407</f>
        <v>0</v>
      </c>
      <c r="D407" s="51"/>
      <c r="E407" s="52"/>
      <c r="F407" s="51"/>
      <c r="G407" s="52"/>
      <c r="H407" s="62"/>
      <c r="I407" s="115"/>
      <c r="J407" s="9"/>
      <c r="K407" s="70"/>
      <c r="L407" s="52"/>
      <c r="M407" s="8"/>
      <c r="N407" s="7"/>
      <c r="O407" s="218">
        <f t="shared" si="13"/>
        <v>0</v>
      </c>
      <c r="P407" s="218">
        <f>O407+OCT!P407</f>
        <v>0</v>
      </c>
      <c r="Q407" s="59"/>
      <c r="R407" s="51"/>
      <c r="S407" s="65"/>
      <c r="T407" s="64"/>
      <c r="U407" s="67"/>
      <c r="V407" s="74"/>
      <c r="W407" s="6">
        <f>'CLIENT ENROLLMENT DISCHARGE '!M407</f>
        <v>0</v>
      </c>
      <c r="X407" s="76"/>
      <c r="Y407" s="180"/>
    </row>
    <row r="408" spans="1:25" ht="50.1" customHeight="1" x14ac:dyDescent="0.25">
      <c r="A408" s="5">
        <f t="shared" si="12"/>
        <v>394</v>
      </c>
      <c r="B408" s="10">
        <f>'CLIENT ENROLLMENT DISCHARGE '!B408</f>
        <v>0</v>
      </c>
      <c r="C408" s="4">
        <f>'CLIENT ENROLLMENT DISCHARGE '!C408</f>
        <v>0</v>
      </c>
      <c r="D408" s="52"/>
      <c r="E408" s="53"/>
      <c r="F408" s="52"/>
      <c r="G408" s="53"/>
      <c r="H408" s="63"/>
      <c r="I408" s="116"/>
      <c r="J408" s="3"/>
      <c r="K408" s="71"/>
      <c r="L408" s="53"/>
      <c r="M408" s="2"/>
      <c r="N408" s="1"/>
      <c r="O408" s="218">
        <f t="shared" si="13"/>
        <v>0</v>
      </c>
      <c r="P408" s="218">
        <f>O408+OCT!P408</f>
        <v>0</v>
      </c>
      <c r="Q408" s="60"/>
      <c r="R408" s="52"/>
      <c r="S408" s="66"/>
      <c r="T408" s="65"/>
      <c r="U408" s="68"/>
      <c r="V408" s="59"/>
      <c r="W408" s="6">
        <f>'CLIENT ENROLLMENT DISCHARGE '!M408</f>
        <v>0</v>
      </c>
      <c r="X408" s="76"/>
      <c r="Y408" s="180"/>
    </row>
    <row r="409" spans="1:25" ht="50.1" customHeight="1" x14ac:dyDescent="0.25">
      <c r="A409" s="5">
        <f t="shared" si="12"/>
        <v>395</v>
      </c>
      <c r="B409" s="10">
        <f>'CLIENT ENROLLMENT DISCHARGE '!B409</f>
        <v>0</v>
      </c>
      <c r="C409" s="4">
        <f>'CLIENT ENROLLMENT DISCHARGE '!C409</f>
        <v>0</v>
      </c>
      <c r="D409" s="51"/>
      <c r="E409" s="52"/>
      <c r="F409" s="51"/>
      <c r="G409" s="52"/>
      <c r="H409" s="62"/>
      <c r="I409" s="115"/>
      <c r="J409" s="9"/>
      <c r="K409" s="70"/>
      <c r="L409" s="52"/>
      <c r="M409" s="8"/>
      <c r="N409" s="7"/>
      <c r="O409" s="218">
        <f t="shared" si="13"/>
        <v>0</v>
      </c>
      <c r="P409" s="218">
        <f>O409+OCT!P409</f>
        <v>0</v>
      </c>
      <c r="Q409" s="59"/>
      <c r="R409" s="51"/>
      <c r="S409" s="65"/>
      <c r="T409" s="64"/>
      <c r="U409" s="67"/>
      <c r="V409" s="74"/>
      <c r="W409" s="6">
        <f>'CLIENT ENROLLMENT DISCHARGE '!M409</f>
        <v>0</v>
      </c>
      <c r="X409" s="76"/>
      <c r="Y409" s="180"/>
    </row>
    <row r="410" spans="1:25" ht="50.1" customHeight="1" x14ac:dyDescent="0.25">
      <c r="A410" s="5">
        <f t="shared" si="12"/>
        <v>396</v>
      </c>
      <c r="B410" s="10">
        <f>'CLIENT ENROLLMENT DISCHARGE '!B410</f>
        <v>0</v>
      </c>
      <c r="C410" s="4">
        <f>'CLIENT ENROLLMENT DISCHARGE '!C410</f>
        <v>0</v>
      </c>
      <c r="D410" s="52"/>
      <c r="E410" s="53"/>
      <c r="F410" s="52"/>
      <c r="G410" s="53"/>
      <c r="H410" s="63"/>
      <c r="I410" s="116"/>
      <c r="J410" s="3"/>
      <c r="K410" s="71"/>
      <c r="L410" s="53"/>
      <c r="M410" s="2"/>
      <c r="N410" s="1"/>
      <c r="O410" s="218">
        <f t="shared" si="13"/>
        <v>0</v>
      </c>
      <c r="P410" s="218">
        <f>O410+OCT!P410</f>
        <v>0</v>
      </c>
      <c r="Q410" s="60"/>
      <c r="R410" s="52"/>
      <c r="S410" s="66"/>
      <c r="T410" s="65"/>
      <c r="U410" s="68"/>
      <c r="V410" s="75"/>
      <c r="W410" s="6">
        <f>'CLIENT ENROLLMENT DISCHARGE '!M410</f>
        <v>0</v>
      </c>
      <c r="X410" s="76"/>
      <c r="Y410" s="180"/>
    </row>
    <row r="411" spans="1:25" ht="50.1" customHeight="1" x14ac:dyDescent="0.25">
      <c r="A411" s="5">
        <f t="shared" si="12"/>
        <v>397</v>
      </c>
      <c r="B411" s="10">
        <f>'CLIENT ENROLLMENT DISCHARGE '!B411</f>
        <v>0</v>
      </c>
      <c r="C411" s="4">
        <f>'CLIENT ENROLLMENT DISCHARGE '!C411</f>
        <v>0</v>
      </c>
      <c r="D411" s="51"/>
      <c r="E411" s="52"/>
      <c r="F411" s="51"/>
      <c r="G411" s="52"/>
      <c r="H411" s="62"/>
      <c r="I411" s="115"/>
      <c r="J411" s="9"/>
      <c r="K411" s="70"/>
      <c r="L411" s="52"/>
      <c r="M411" s="8"/>
      <c r="N411" s="7"/>
      <c r="O411" s="218">
        <f t="shared" si="13"/>
        <v>0</v>
      </c>
      <c r="P411" s="218">
        <f>O411+OCT!P411</f>
        <v>0</v>
      </c>
      <c r="Q411" s="59"/>
      <c r="R411" s="51"/>
      <c r="S411" s="65"/>
      <c r="T411" s="64"/>
      <c r="U411" s="67"/>
      <c r="V411" s="74"/>
      <c r="W411" s="6">
        <f>'CLIENT ENROLLMENT DISCHARGE '!M411</f>
        <v>0</v>
      </c>
      <c r="X411" s="76"/>
      <c r="Y411" s="180"/>
    </row>
    <row r="412" spans="1:25" ht="50.1" customHeight="1" x14ac:dyDescent="0.25">
      <c r="A412" s="5">
        <f t="shared" si="12"/>
        <v>398</v>
      </c>
      <c r="B412" s="10">
        <f>'CLIENT ENROLLMENT DISCHARGE '!B412</f>
        <v>0</v>
      </c>
      <c r="C412" s="4">
        <f>'CLIENT ENROLLMENT DISCHARGE '!C412</f>
        <v>0</v>
      </c>
      <c r="D412" s="52"/>
      <c r="E412" s="53"/>
      <c r="F412" s="52"/>
      <c r="G412" s="53"/>
      <c r="H412" s="63"/>
      <c r="I412" s="116"/>
      <c r="J412" s="3"/>
      <c r="K412" s="71"/>
      <c r="L412" s="53"/>
      <c r="M412" s="2"/>
      <c r="N412" s="1"/>
      <c r="O412" s="218">
        <f t="shared" si="13"/>
        <v>0</v>
      </c>
      <c r="P412" s="218">
        <f>O412+OCT!P412</f>
        <v>0</v>
      </c>
      <c r="Q412" s="60"/>
      <c r="R412" s="52"/>
      <c r="S412" s="66"/>
      <c r="T412" s="65"/>
      <c r="U412" s="68"/>
      <c r="V412" s="59"/>
      <c r="W412" s="6">
        <f>'CLIENT ENROLLMENT DISCHARGE '!M412</f>
        <v>0</v>
      </c>
      <c r="X412" s="76"/>
      <c r="Y412" s="180"/>
    </row>
    <row r="413" spans="1:25" ht="50.1" customHeight="1" x14ac:dyDescent="0.25">
      <c r="A413" s="5">
        <f t="shared" si="12"/>
        <v>399</v>
      </c>
      <c r="B413" s="10">
        <f>'CLIENT ENROLLMENT DISCHARGE '!B413</f>
        <v>0</v>
      </c>
      <c r="C413" s="4">
        <f>'CLIENT ENROLLMENT DISCHARGE '!C413</f>
        <v>0</v>
      </c>
      <c r="D413" s="51"/>
      <c r="E413" s="52"/>
      <c r="F413" s="51"/>
      <c r="G413" s="52"/>
      <c r="H413" s="62"/>
      <c r="I413" s="115"/>
      <c r="J413" s="9"/>
      <c r="K413" s="70"/>
      <c r="L413" s="52"/>
      <c r="M413" s="8"/>
      <c r="N413" s="7"/>
      <c r="O413" s="218">
        <f t="shared" si="13"/>
        <v>0</v>
      </c>
      <c r="P413" s="218">
        <f>O413+OCT!P413</f>
        <v>0</v>
      </c>
      <c r="Q413" s="59"/>
      <c r="R413" s="51"/>
      <c r="S413" s="65"/>
      <c r="T413" s="64"/>
      <c r="U413" s="67"/>
      <c r="V413" s="74"/>
      <c r="W413" s="6">
        <f>'CLIENT ENROLLMENT DISCHARGE '!M413</f>
        <v>0</v>
      </c>
      <c r="X413" s="76"/>
      <c r="Y413" s="180"/>
    </row>
    <row r="414" spans="1:25" ht="50.1" customHeight="1" x14ac:dyDescent="0.25">
      <c r="A414" s="5">
        <f t="shared" si="12"/>
        <v>400</v>
      </c>
      <c r="B414" s="10">
        <f>'CLIENT ENROLLMENT DISCHARGE '!B414</f>
        <v>0</v>
      </c>
      <c r="C414" s="4">
        <f>'CLIENT ENROLLMENT DISCHARGE '!C414</f>
        <v>0</v>
      </c>
      <c r="D414" s="52"/>
      <c r="E414" s="53"/>
      <c r="F414" s="52"/>
      <c r="G414" s="53"/>
      <c r="H414" s="63"/>
      <c r="I414" s="116"/>
      <c r="J414" s="3"/>
      <c r="K414" s="71"/>
      <c r="L414" s="53"/>
      <c r="M414" s="2"/>
      <c r="N414" s="1"/>
      <c r="O414" s="218">
        <f t="shared" si="13"/>
        <v>0</v>
      </c>
      <c r="P414" s="218">
        <f>O414+OCT!P414</f>
        <v>0</v>
      </c>
      <c r="Q414" s="60"/>
      <c r="R414" s="52"/>
      <c r="S414" s="66"/>
      <c r="T414" s="65"/>
      <c r="U414" s="68"/>
      <c r="V414" s="59"/>
      <c r="W414" s="6">
        <f>'CLIENT ENROLLMENT DISCHARGE '!M414</f>
        <v>0</v>
      </c>
      <c r="X414" s="76"/>
      <c r="Y414" s="180"/>
    </row>
    <row r="415" spans="1:25" ht="50.1" customHeight="1" x14ac:dyDescent="0.25">
      <c r="A415" s="5">
        <f t="shared" si="12"/>
        <v>401</v>
      </c>
      <c r="B415" s="10">
        <f>'CLIENT ENROLLMENT DISCHARGE '!B415</f>
        <v>0</v>
      </c>
      <c r="C415" s="4">
        <f>'CLIENT ENROLLMENT DISCHARGE '!C415</f>
        <v>0</v>
      </c>
      <c r="D415" s="51"/>
      <c r="E415" s="52"/>
      <c r="F415" s="51"/>
      <c r="G415" s="52"/>
      <c r="H415" s="62"/>
      <c r="I415" s="115"/>
      <c r="J415" s="9"/>
      <c r="K415" s="70"/>
      <c r="L415" s="52"/>
      <c r="M415" s="8"/>
      <c r="N415" s="7"/>
      <c r="O415" s="218">
        <f t="shared" si="13"/>
        <v>0</v>
      </c>
      <c r="P415" s="218">
        <f>O415+OCT!P415</f>
        <v>0</v>
      </c>
      <c r="Q415" s="59"/>
      <c r="R415" s="51"/>
      <c r="S415" s="65"/>
      <c r="T415" s="64"/>
      <c r="U415" s="67"/>
      <c r="V415" s="74"/>
      <c r="W415" s="6">
        <f>'CLIENT ENROLLMENT DISCHARGE '!M415</f>
        <v>0</v>
      </c>
      <c r="X415" s="76"/>
      <c r="Y415" s="180"/>
    </row>
    <row r="416" spans="1:25" ht="50.1" customHeight="1" x14ac:dyDescent="0.25">
      <c r="A416" s="5">
        <f t="shared" si="12"/>
        <v>402</v>
      </c>
      <c r="B416" s="10">
        <f>'CLIENT ENROLLMENT DISCHARGE '!B416</f>
        <v>0</v>
      </c>
      <c r="C416" s="4">
        <f>'CLIENT ENROLLMENT DISCHARGE '!C416</f>
        <v>0</v>
      </c>
      <c r="D416" s="52"/>
      <c r="E416" s="53"/>
      <c r="F416" s="52"/>
      <c r="G416" s="53"/>
      <c r="H416" s="63"/>
      <c r="I416" s="116"/>
      <c r="J416" s="3"/>
      <c r="K416" s="71"/>
      <c r="L416" s="53"/>
      <c r="M416" s="2"/>
      <c r="N416" s="1"/>
      <c r="O416" s="218">
        <f t="shared" si="13"/>
        <v>0</v>
      </c>
      <c r="P416" s="218">
        <f>O416+OCT!P416</f>
        <v>0</v>
      </c>
      <c r="Q416" s="60"/>
      <c r="R416" s="52"/>
      <c r="S416" s="66"/>
      <c r="T416" s="65"/>
      <c r="U416" s="68"/>
      <c r="V416" s="59"/>
      <c r="W416" s="6">
        <f>'CLIENT ENROLLMENT DISCHARGE '!M416</f>
        <v>0</v>
      </c>
      <c r="X416" s="76"/>
      <c r="Y416" s="180"/>
    </row>
    <row r="417" spans="1:25" ht="50.1" customHeight="1" x14ac:dyDescent="0.25">
      <c r="A417" s="5">
        <f t="shared" si="12"/>
        <v>403</v>
      </c>
      <c r="B417" s="10">
        <f>'CLIENT ENROLLMENT DISCHARGE '!B417</f>
        <v>0</v>
      </c>
      <c r="C417" s="4">
        <f>'CLIENT ENROLLMENT DISCHARGE '!C417</f>
        <v>0</v>
      </c>
      <c r="D417" s="51"/>
      <c r="E417" s="52"/>
      <c r="F417" s="51"/>
      <c r="G417" s="52"/>
      <c r="H417" s="62"/>
      <c r="I417" s="115"/>
      <c r="J417" s="9"/>
      <c r="K417" s="70"/>
      <c r="L417" s="52"/>
      <c r="M417" s="8"/>
      <c r="N417" s="7"/>
      <c r="O417" s="218">
        <f t="shared" si="13"/>
        <v>0</v>
      </c>
      <c r="P417" s="218">
        <f>O417+OCT!P417</f>
        <v>0</v>
      </c>
      <c r="Q417" s="59"/>
      <c r="R417" s="51"/>
      <c r="S417" s="65"/>
      <c r="T417" s="64"/>
      <c r="U417" s="67"/>
      <c r="V417" s="74"/>
      <c r="W417" s="6">
        <f>'CLIENT ENROLLMENT DISCHARGE '!M417</f>
        <v>0</v>
      </c>
      <c r="X417" s="76"/>
      <c r="Y417" s="180"/>
    </row>
    <row r="418" spans="1:25" ht="50.1" customHeight="1" x14ac:dyDescent="0.25">
      <c r="A418" s="5">
        <f t="shared" si="12"/>
        <v>404</v>
      </c>
      <c r="B418" s="10">
        <f>'CLIENT ENROLLMENT DISCHARGE '!B418</f>
        <v>0</v>
      </c>
      <c r="C418" s="4">
        <f>'CLIENT ENROLLMENT DISCHARGE '!C418</f>
        <v>0</v>
      </c>
      <c r="D418" s="52"/>
      <c r="E418" s="53"/>
      <c r="F418" s="52"/>
      <c r="G418" s="53"/>
      <c r="H418" s="63"/>
      <c r="I418" s="116"/>
      <c r="J418" s="3"/>
      <c r="K418" s="71"/>
      <c r="L418" s="53"/>
      <c r="M418" s="2"/>
      <c r="N418" s="1"/>
      <c r="O418" s="218">
        <f t="shared" si="13"/>
        <v>0</v>
      </c>
      <c r="P418" s="218">
        <f>O418+OCT!P418</f>
        <v>0</v>
      </c>
      <c r="Q418" s="60"/>
      <c r="R418" s="52"/>
      <c r="S418" s="66"/>
      <c r="T418" s="65"/>
      <c r="U418" s="68"/>
      <c r="V418" s="59"/>
      <c r="W418" s="6">
        <f>'CLIENT ENROLLMENT DISCHARGE '!M418</f>
        <v>0</v>
      </c>
      <c r="X418" s="76"/>
      <c r="Y418" s="180"/>
    </row>
    <row r="419" spans="1:25" ht="50.1" customHeight="1" x14ac:dyDescent="0.25">
      <c r="A419" s="5">
        <f t="shared" si="12"/>
        <v>405</v>
      </c>
      <c r="B419" s="10">
        <f>'CLIENT ENROLLMENT DISCHARGE '!B419</f>
        <v>0</v>
      </c>
      <c r="C419" s="4">
        <f>'CLIENT ENROLLMENT DISCHARGE '!C419</f>
        <v>0</v>
      </c>
      <c r="D419" s="51"/>
      <c r="E419" s="52"/>
      <c r="F419" s="51"/>
      <c r="G419" s="52"/>
      <c r="H419" s="62"/>
      <c r="I419" s="115"/>
      <c r="J419" s="9"/>
      <c r="K419" s="70"/>
      <c r="L419" s="52"/>
      <c r="M419" s="8"/>
      <c r="N419" s="7"/>
      <c r="O419" s="218">
        <f t="shared" si="13"/>
        <v>0</v>
      </c>
      <c r="P419" s="218">
        <f>O419+OCT!P419</f>
        <v>0</v>
      </c>
      <c r="Q419" s="59"/>
      <c r="R419" s="51"/>
      <c r="S419" s="65"/>
      <c r="T419" s="64"/>
      <c r="U419" s="67"/>
      <c r="V419" s="74"/>
      <c r="W419" s="6">
        <f>'CLIENT ENROLLMENT DISCHARGE '!M419</f>
        <v>0</v>
      </c>
      <c r="X419" s="76"/>
      <c r="Y419" s="180"/>
    </row>
    <row r="420" spans="1:25" ht="50.1" customHeight="1" x14ac:dyDescent="0.25">
      <c r="A420" s="5">
        <f t="shared" si="12"/>
        <v>406</v>
      </c>
      <c r="B420" s="10">
        <f>'CLIENT ENROLLMENT DISCHARGE '!B420</f>
        <v>0</v>
      </c>
      <c r="C420" s="4">
        <f>'CLIENT ENROLLMENT DISCHARGE '!C420</f>
        <v>0</v>
      </c>
      <c r="D420" s="52"/>
      <c r="E420" s="53"/>
      <c r="F420" s="52"/>
      <c r="G420" s="53"/>
      <c r="H420" s="63"/>
      <c r="I420" s="116"/>
      <c r="J420" s="3"/>
      <c r="K420" s="71"/>
      <c r="L420" s="53"/>
      <c r="M420" s="2"/>
      <c r="N420" s="1"/>
      <c r="O420" s="218">
        <f t="shared" si="13"/>
        <v>0</v>
      </c>
      <c r="P420" s="218">
        <f>O420+OCT!P420</f>
        <v>0</v>
      </c>
      <c r="Q420" s="60"/>
      <c r="R420" s="52"/>
      <c r="S420" s="66"/>
      <c r="T420" s="65"/>
      <c r="U420" s="68"/>
      <c r="V420" s="75"/>
      <c r="W420" s="6">
        <f>'CLIENT ENROLLMENT DISCHARGE '!M420</f>
        <v>0</v>
      </c>
      <c r="X420" s="76"/>
      <c r="Y420" s="180"/>
    </row>
    <row r="421" spans="1:25" ht="50.1" customHeight="1" x14ac:dyDescent="0.25">
      <c r="A421" s="5">
        <f t="shared" si="12"/>
        <v>407</v>
      </c>
      <c r="B421" s="10">
        <f>'CLIENT ENROLLMENT DISCHARGE '!B421</f>
        <v>0</v>
      </c>
      <c r="C421" s="4">
        <f>'CLIENT ENROLLMENT DISCHARGE '!C421</f>
        <v>0</v>
      </c>
      <c r="D421" s="51"/>
      <c r="E421" s="52"/>
      <c r="F421" s="51"/>
      <c r="G421" s="52"/>
      <c r="H421" s="62"/>
      <c r="I421" s="115"/>
      <c r="J421" s="9"/>
      <c r="K421" s="70"/>
      <c r="L421" s="52"/>
      <c r="M421" s="8"/>
      <c r="N421" s="7"/>
      <c r="O421" s="218">
        <f t="shared" si="13"/>
        <v>0</v>
      </c>
      <c r="P421" s="218">
        <f>O421+OCT!P421</f>
        <v>0</v>
      </c>
      <c r="Q421" s="59"/>
      <c r="R421" s="51"/>
      <c r="S421" s="65"/>
      <c r="T421" s="64"/>
      <c r="U421" s="67"/>
      <c r="V421" s="74"/>
      <c r="W421" s="6">
        <f>'CLIENT ENROLLMENT DISCHARGE '!M421</f>
        <v>0</v>
      </c>
      <c r="X421" s="76"/>
      <c r="Y421" s="180"/>
    </row>
    <row r="422" spans="1:25" ht="50.1" customHeight="1" x14ac:dyDescent="0.25">
      <c r="A422" s="5">
        <f t="shared" si="12"/>
        <v>408</v>
      </c>
      <c r="B422" s="10">
        <f>'CLIENT ENROLLMENT DISCHARGE '!B422</f>
        <v>0</v>
      </c>
      <c r="C422" s="4">
        <f>'CLIENT ENROLLMENT DISCHARGE '!C422</f>
        <v>0</v>
      </c>
      <c r="D422" s="52"/>
      <c r="E422" s="53"/>
      <c r="F422" s="52"/>
      <c r="G422" s="53"/>
      <c r="H422" s="63"/>
      <c r="I422" s="116"/>
      <c r="J422" s="3"/>
      <c r="K422" s="71"/>
      <c r="L422" s="53"/>
      <c r="M422" s="2"/>
      <c r="N422" s="1"/>
      <c r="O422" s="218">
        <f t="shared" si="13"/>
        <v>0</v>
      </c>
      <c r="P422" s="218">
        <f>O422+OCT!P422</f>
        <v>0</v>
      </c>
      <c r="Q422" s="60"/>
      <c r="R422" s="52"/>
      <c r="S422" s="66"/>
      <c r="T422" s="65"/>
      <c r="U422" s="68"/>
      <c r="V422" s="59"/>
      <c r="W422" s="6">
        <f>'CLIENT ENROLLMENT DISCHARGE '!M422</f>
        <v>0</v>
      </c>
      <c r="X422" s="76"/>
      <c r="Y422" s="180"/>
    </row>
    <row r="423" spans="1:25" ht="50.1" customHeight="1" x14ac:dyDescent="0.25">
      <c r="A423" s="5">
        <f t="shared" si="12"/>
        <v>409</v>
      </c>
      <c r="B423" s="10">
        <f>'CLIENT ENROLLMENT DISCHARGE '!B423</f>
        <v>0</v>
      </c>
      <c r="C423" s="4">
        <f>'CLIENT ENROLLMENT DISCHARGE '!C423</f>
        <v>0</v>
      </c>
      <c r="D423" s="51"/>
      <c r="E423" s="52"/>
      <c r="F423" s="51"/>
      <c r="G423" s="52"/>
      <c r="H423" s="62"/>
      <c r="I423" s="115"/>
      <c r="J423" s="9"/>
      <c r="K423" s="70"/>
      <c r="L423" s="52"/>
      <c r="M423" s="8"/>
      <c r="N423" s="7"/>
      <c r="O423" s="218">
        <f t="shared" si="13"/>
        <v>0</v>
      </c>
      <c r="P423" s="218">
        <f>O423+OCT!P423</f>
        <v>0</v>
      </c>
      <c r="Q423" s="59"/>
      <c r="R423" s="51"/>
      <c r="S423" s="65"/>
      <c r="T423" s="64"/>
      <c r="U423" s="67"/>
      <c r="V423" s="74"/>
      <c r="W423" s="6">
        <f>'CLIENT ENROLLMENT DISCHARGE '!M423</f>
        <v>0</v>
      </c>
      <c r="X423" s="76"/>
      <c r="Y423" s="180"/>
    </row>
    <row r="424" spans="1:25" ht="50.1" customHeight="1" x14ac:dyDescent="0.25">
      <c r="A424" s="5">
        <f t="shared" si="12"/>
        <v>410</v>
      </c>
      <c r="B424" s="10">
        <f>'CLIENT ENROLLMENT DISCHARGE '!B424</f>
        <v>0</v>
      </c>
      <c r="C424" s="4">
        <f>'CLIENT ENROLLMENT DISCHARGE '!C424</f>
        <v>0</v>
      </c>
      <c r="D424" s="52"/>
      <c r="E424" s="53"/>
      <c r="F424" s="52"/>
      <c r="G424" s="53"/>
      <c r="H424" s="63"/>
      <c r="I424" s="116"/>
      <c r="J424" s="3"/>
      <c r="K424" s="71"/>
      <c r="L424" s="53"/>
      <c r="M424" s="2"/>
      <c r="N424" s="1"/>
      <c r="O424" s="218">
        <f t="shared" si="13"/>
        <v>0</v>
      </c>
      <c r="P424" s="218">
        <f>O424+OCT!P424</f>
        <v>0</v>
      </c>
      <c r="Q424" s="60"/>
      <c r="R424" s="52"/>
      <c r="S424" s="66"/>
      <c r="T424" s="65"/>
      <c r="U424" s="68"/>
      <c r="V424" s="59"/>
      <c r="W424" s="6">
        <f>'CLIENT ENROLLMENT DISCHARGE '!M424</f>
        <v>0</v>
      </c>
      <c r="X424" s="76"/>
      <c r="Y424" s="180"/>
    </row>
    <row r="425" spans="1:25" ht="50.1" customHeight="1" x14ac:dyDescent="0.25">
      <c r="A425" s="5">
        <f t="shared" si="12"/>
        <v>411</v>
      </c>
      <c r="B425" s="10">
        <f>'CLIENT ENROLLMENT DISCHARGE '!B425</f>
        <v>0</v>
      </c>
      <c r="C425" s="4">
        <f>'CLIENT ENROLLMENT DISCHARGE '!C425</f>
        <v>0</v>
      </c>
      <c r="D425" s="51"/>
      <c r="E425" s="52"/>
      <c r="F425" s="51"/>
      <c r="G425" s="52"/>
      <c r="H425" s="62"/>
      <c r="I425" s="115"/>
      <c r="J425" s="9"/>
      <c r="K425" s="70"/>
      <c r="L425" s="52"/>
      <c r="M425" s="8"/>
      <c r="N425" s="7"/>
      <c r="O425" s="218">
        <f t="shared" si="13"/>
        <v>0</v>
      </c>
      <c r="P425" s="218">
        <f>O425+OCT!P425</f>
        <v>0</v>
      </c>
      <c r="Q425" s="59"/>
      <c r="R425" s="51"/>
      <c r="S425" s="65"/>
      <c r="T425" s="64"/>
      <c r="U425" s="67"/>
      <c r="V425" s="74"/>
      <c r="W425" s="6">
        <f>'CLIENT ENROLLMENT DISCHARGE '!M425</f>
        <v>0</v>
      </c>
      <c r="X425" s="76"/>
      <c r="Y425" s="180"/>
    </row>
    <row r="426" spans="1:25" ht="50.1" customHeight="1" x14ac:dyDescent="0.25">
      <c r="A426" s="5">
        <f t="shared" si="12"/>
        <v>412</v>
      </c>
      <c r="B426" s="10">
        <f>'CLIENT ENROLLMENT DISCHARGE '!B426</f>
        <v>0</v>
      </c>
      <c r="C426" s="4">
        <f>'CLIENT ENROLLMENT DISCHARGE '!C426</f>
        <v>0</v>
      </c>
      <c r="D426" s="52"/>
      <c r="E426" s="53"/>
      <c r="F426" s="52"/>
      <c r="G426" s="53"/>
      <c r="H426" s="63"/>
      <c r="I426" s="116"/>
      <c r="J426" s="3"/>
      <c r="K426" s="71"/>
      <c r="L426" s="53"/>
      <c r="M426" s="2"/>
      <c r="N426" s="1"/>
      <c r="O426" s="218">
        <f t="shared" si="13"/>
        <v>0</v>
      </c>
      <c r="P426" s="218">
        <f>O426+OCT!P426</f>
        <v>0</v>
      </c>
      <c r="Q426" s="60"/>
      <c r="R426" s="52"/>
      <c r="S426" s="66"/>
      <c r="T426" s="65"/>
      <c r="U426" s="68"/>
      <c r="V426" s="59"/>
      <c r="W426" s="6">
        <f>'CLIENT ENROLLMENT DISCHARGE '!M426</f>
        <v>0</v>
      </c>
      <c r="X426" s="76"/>
      <c r="Y426" s="180"/>
    </row>
    <row r="427" spans="1:25" ht="50.1" customHeight="1" x14ac:dyDescent="0.25">
      <c r="A427" s="5">
        <f t="shared" si="12"/>
        <v>413</v>
      </c>
      <c r="B427" s="10">
        <f>'CLIENT ENROLLMENT DISCHARGE '!B427</f>
        <v>0</v>
      </c>
      <c r="C427" s="4">
        <f>'CLIENT ENROLLMENT DISCHARGE '!C427</f>
        <v>0</v>
      </c>
      <c r="D427" s="51"/>
      <c r="E427" s="52"/>
      <c r="F427" s="51"/>
      <c r="G427" s="52"/>
      <c r="H427" s="62"/>
      <c r="I427" s="115"/>
      <c r="J427" s="9"/>
      <c r="K427" s="70"/>
      <c r="L427" s="52"/>
      <c r="M427" s="8"/>
      <c r="N427" s="7"/>
      <c r="O427" s="218">
        <f t="shared" si="13"/>
        <v>0</v>
      </c>
      <c r="P427" s="218">
        <f>O427+OCT!P427</f>
        <v>0</v>
      </c>
      <c r="Q427" s="59"/>
      <c r="R427" s="51"/>
      <c r="S427" s="65"/>
      <c r="T427" s="64"/>
      <c r="U427" s="67"/>
      <c r="V427" s="74"/>
      <c r="W427" s="6">
        <f>'CLIENT ENROLLMENT DISCHARGE '!M427</f>
        <v>0</v>
      </c>
      <c r="X427" s="76"/>
      <c r="Y427" s="180"/>
    </row>
    <row r="428" spans="1:25" ht="50.1" customHeight="1" x14ac:dyDescent="0.25">
      <c r="A428" s="5">
        <f t="shared" si="12"/>
        <v>414</v>
      </c>
      <c r="B428" s="10">
        <f>'CLIENT ENROLLMENT DISCHARGE '!B428</f>
        <v>0</v>
      </c>
      <c r="C428" s="4">
        <f>'CLIENT ENROLLMENT DISCHARGE '!C428</f>
        <v>0</v>
      </c>
      <c r="D428" s="52"/>
      <c r="E428" s="53"/>
      <c r="F428" s="52"/>
      <c r="G428" s="53"/>
      <c r="H428" s="63"/>
      <c r="I428" s="116"/>
      <c r="J428" s="3"/>
      <c r="K428" s="71"/>
      <c r="L428" s="53"/>
      <c r="M428" s="2"/>
      <c r="N428" s="1"/>
      <c r="O428" s="218">
        <f t="shared" si="13"/>
        <v>0</v>
      </c>
      <c r="P428" s="218">
        <f>O428+OCT!P428</f>
        <v>0</v>
      </c>
      <c r="Q428" s="60"/>
      <c r="R428" s="52"/>
      <c r="S428" s="66"/>
      <c r="T428" s="65"/>
      <c r="U428" s="68"/>
      <c r="V428" s="59"/>
      <c r="W428" s="6">
        <f>'CLIENT ENROLLMENT DISCHARGE '!M428</f>
        <v>0</v>
      </c>
      <c r="X428" s="76"/>
      <c r="Y428" s="180"/>
    </row>
    <row r="429" spans="1:25" ht="50.1" customHeight="1" x14ac:dyDescent="0.25">
      <c r="A429" s="5">
        <f t="shared" si="12"/>
        <v>415</v>
      </c>
      <c r="B429" s="10">
        <f>'CLIENT ENROLLMENT DISCHARGE '!B429</f>
        <v>0</v>
      </c>
      <c r="C429" s="4">
        <f>'CLIENT ENROLLMENT DISCHARGE '!C429</f>
        <v>0</v>
      </c>
      <c r="D429" s="51"/>
      <c r="E429" s="52"/>
      <c r="F429" s="51"/>
      <c r="G429" s="52"/>
      <c r="H429" s="62"/>
      <c r="I429" s="115"/>
      <c r="J429" s="9"/>
      <c r="K429" s="70"/>
      <c r="L429" s="52"/>
      <c r="M429" s="8"/>
      <c r="N429" s="7"/>
      <c r="O429" s="218">
        <f t="shared" si="13"/>
        <v>0</v>
      </c>
      <c r="P429" s="218">
        <f>O429+OCT!P429</f>
        <v>0</v>
      </c>
      <c r="Q429" s="59"/>
      <c r="R429" s="51"/>
      <c r="S429" s="65"/>
      <c r="T429" s="64"/>
      <c r="U429" s="67"/>
      <c r="V429" s="74"/>
      <c r="W429" s="6">
        <f>'CLIENT ENROLLMENT DISCHARGE '!M429</f>
        <v>0</v>
      </c>
      <c r="X429" s="76"/>
      <c r="Y429" s="180"/>
    </row>
    <row r="430" spans="1:25" ht="50.1" customHeight="1" x14ac:dyDescent="0.25">
      <c r="A430" s="5">
        <f t="shared" si="12"/>
        <v>416</v>
      </c>
      <c r="B430" s="10">
        <f>'CLIENT ENROLLMENT DISCHARGE '!B430</f>
        <v>0</v>
      </c>
      <c r="C430" s="4">
        <f>'CLIENT ENROLLMENT DISCHARGE '!C430</f>
        <v>0</v>
      </c>
      <c r="D430" s="52"/>
      <c r="E430" s="53"/>
      <c r="F430" s="52"/>
      <c r="G430" s="53"/>
      <c r="H430" s="63"/>
      <c r="I430" s="116"/>
      <c r="J430" s="3"/>
      <c r="K430" s="71"/>
      <c r="L430" s="53"/>
      <c r="M430" s="2"/>
      <c r="N430" s="1"/>
      <c r="O430" s="218">
        <f t="shared" si="13"/>
        <v>0</v>
      </c>
      <c r="P430" s="218">
        <f>O430+OCT!P430</f>
        <v>0</v>
      </c>
      <c r="Q430" s="60"/>
      <c r="R430" s="52"/>
      <c r="S430" s="66"/>
      <c r="T430" s="65"/>
      <c r="U430" s="68"/>
      <c r="V430" s="75"/>
      <c r="W430" s="6">
        <f>'CLIENT ENROLLMENT DISCHARGE '!M430</f>
        <v>0</v>
      </c>
      <c r="X430" s="76"/>
      <c r="Y430" s="180"/>
    </row>
    <row r="431" spans="1:25" ht="50.1" customHeight="1" x14ac:dyDescent="0.25">
      <c r="A431" s="5">
        <f t="shared" si="12"/>
        <v>417</v>
      </c>
      <c r="B431" s="10">
        <f>'CLIENT ENROLLMENT DISCHARGE '!B431</f>
        <v>0</v>
      </c>
      <c r="C431" s="4">
        <f>'CLIENT ENROLLMENT DISCHARGE '!C431</f>
        <v>0</v>
      </c>
      <c r="D431" s="51"/>
      <c r="E431" s="52"/>
      <c r="F431" s="51"/>
      <c r="G431" s="52"/>
      <c r="H431" s="62"/>
      <c r="I431" s="115"/>
      <c r="J431" s="9"/>
      <c r="K431" s="70"/>
      <c r="L431" s="52"/>
      <c r="M431" s="8"/>
      <c r="N431" s="7"/>
      <c r="O431" s="218">
        <f t="shared" si="13"/>
        <v>0</v>
      </c>
      <c r="P431" s="218">
        <f>O431+OCT!P431</f>
        <v>0</v>
      </c>
      <c r="Q431" s="59"/>
      <c r="R431" s="51"/>
      <c r="S431" s="65"/>
      <c r="T431" s="64"/>
      <c r="U431" s="67"/>
      <c r="V431" s="74"/>
      <c r="W431" s="6">
        <f>'CLIENT ENROLLMENT DISCHARGE '!M431</f>
        <v>0</v>
      </c>
      <c r="X431" s="76"/>
      <c r="Y431" s="180"/>
    </row>
    <row r="432" spans="1:25" ht="50.1" customHeight="1" x14ac:dyDescent="0.25">
      <c r="A432" s="5">
        <f t="shared" si="12"/>
        <v>418</v>
      </c>
      <c r="B432" s="10">
        <f>'CLIENT ENROLLMENT DISCHARGE '!B432</f>
        <v>0</v>
      </c>
      <c r="C432" s="4">
        <f>'CLIENT ENROLLMENT DISCHARGE '!C432</f>
        <v>0</v>
      </c>
      <c r="D432" s="52"/>
      <c r="E432" s="53"/>
      <c r="F432" s="52"/>
      <c r="G432" s="53"/>
      <c r="H432" s="63"/>
      <c r="I432" s="116"/>
      <c r="J432" s="3"/>
      <c r="K432" s="71"/>
      <c r="L432" s="53"/>
      <c r="M432" s="2"/>
      <c r="N432" s="1"/>
      <c r="O432" s="218">
        <f t="shared" si="13"/>
        <v>0</v>
      </c>
      <c r="P432" s="218">
        <f>O432+OCT!P432</f>
        <v>0</v>
      </c>
      <c r="Q432" s="60"/>
      <c r="R432" s="52"/>
      <c r="S432" s="66"/>
      <c r="T432" s="65"/>
      <c r="U432" s="68"/>
      <c r="V432" s="59"/>
      <c r="W432" s="6">
        <f>'CLIENT ENROLLMENT DISCHARGE '!M432</f>
        <v>0</v>
      </c>
      <c r="X432" s="76"/>
      <c r="Y432" s="180"/>
    </row>
    <row r="433" spans="1:25" ht="50.1" customHeight="1" x14ac:dyDescent="0.25">
      <c r="A433" s="5">
        <f t="shared" si="12"/>
        <v>419</v>
      </c>
      <c r="B433" s="10">
        <f>'CLIENT ENROLLMENT DISCHARGE '!B433</f>
        <v>0</v>
      </c>
      <c r="C433" s="4">
        <f>'CLIENT ENROLLMENT DISCHARGE '!C433</f>
        <v>0</v>
      </c>
      <c r="D433" s="51"/>
      <c r="E433" s="52"/>
      <c r="F433" s="51"/>
      <c r="G433" s="52"/>
      <c r="H433" s="62"/>
      <c r="I433" s="115"/>
      <c r="J433" s="9"/>
      <c r="K433" s="70"/>
      <c r="L433" s="52"/>
      <c r="M433" s="8"/>
      <c r="N433" s="7"/>
      <c r="O433" s="218">
        <f t="shared" si="13"/>
        <v>0</v>
      </c>
      <c r="P433" s="218">
        <f>O433+OCT!P433</f>
        <v>0</v>
      </c>
      <c r="Q433" s="59"/>
      <c r="R433" s="51"/>
      <c r="S433" s="65"/>
      <c r="T433" s="64"/>
      <c r="U433" s="67"/>
      <c r="V433" s="74"/>
      <c r="W433" s="6">
        <f>'CLIENT ENROLLMENT DISCHARGE '!M433</f>
        <v>0</v>
      </c>
      <c r="X433" s="76"/>
      <c r="Y433" s="180"/>
    </row>
    <row r="434" spans="1:25" ht="50.1" customHeight="1" x14ac:dyDescent="0.25">
      <c r="A434" s="5">
        <f t="shared" si="12"/>
        <v>420</v>
      </c>
      <c r="B434" s="10">
        <f>'CLIENT ENROLLMENT DISCHARGE '!B434</f>
        <v>0</v>
      </c>
      <c r="C434" s="4">
        <f>'CLIENT ENROLLMENT DISCHARGE '!C434</f>
        <v>0</v>
      </c>
      <c r="D434" s="52"/>
      <c r="E434" s="53"/>
      <c r="F434" s="52"/>
      <c r="G434" s="53"/>
      <c r="H434" s="63"/>
      <c r="I434" s="116"/>
      <c r="J434" s="3"/>
      <c r="K434" s="71"/>
      <c r="L434" s="53"/>
      <c r="M434" s="2"/>
      <c r="N434" s="1"/>
      <c r="O434" s="218">
        <f t="shared" si="13"/>
        <v>0</v>
      </c>
      <c r="P434" s="218">
        <f>O434+OCT!P434</f>
        <v>0</v>
      </c>
      <c r="Q434" s="60"/>
      <c r="R434" s="52"/>
      <c r="S434" s="66"/>
      <c r="T434" s="65"/>
      <c r="U434" s="68"/>
      <c r="V434" s="59"/>
      <c r="W434" s="6">
        <f>'CLIENT ENROLLMENT DISCHARGE '!M434</f>
        <v>0</v>
      </c>
      <c r="X434" s="76"/>
      <c r="Y434" s="180"/>
    </row>
    <row r="435" spans="1:25" ht="50.1" customHeight="1" x14ac:dyDescent="0.25">
      <c r="A435" s="5">
        <f t="shared" si="12"/>
        <v>421</v>
      </c>
      <c r="B435" s="10">
        <f>'CLIENT ENROLLMENT DISCHARGE '!B435</f>
        <v>0</v>
      </c>
      <c r="C435" s="4">
        <f>'CLIENT ENROLLMENT DISCHARGE '!C435</f>
        <v>0</v>
      </c>
      <c r="D435" s="51"/>
      <c r="E435" s="52"/>
      <c r="F435" s="51"/>
      <c r="G435" s="52"/>
      <c r="H435" s="62"/>
      <c r="I435" s="115"/>
      <c r="J435" s="9"/>
      <c r="K435" s="70"/>
      <c r="L435" s="52"/>
      <c r="M435" s="8"/>
      <c r="N435" s="7"/>
      <c r="O435" s="218">
        <f t="shared" si="13"/>
        <v>0</v>
      </c>
      <c r="P435" s="218">
        <f>O435+OCT!P435</f>
        <v>0</v>
      </c>
      <c r="Q435" s="59"/>
      <c r="R435" s="51"/>
      <c r="S435" s="65"/>
      <c r="T435" s="64"/>
      <c r="U435" s="67"/>
      <c r="V435" s="74"/>
      <c r="W435" s="6">
        <f>'CLIENT ENROLLMENT DISCHARGE '!M435</f>
        <v>0</v>
      </c>
      <c r="X435" s="76"/>
      <c r="Y435" s="180"/>
    </row>
    <row r="436" spans="1:25" ht="50.1" customHeight="1" x14ac:dyDescent="0.25">
      <c r="A436" s="5">
        <f t="shared" si="12"/>
        <v>422</v>
      </c>
      <c r="B436" s="10">
        <f>'CLIENT ENROLLMENT DISCHARGE '!B436</f>
        <v>0</v>
      </c>
      <c r="C436" s="4">
        <f>'CLIENT ENROLLMENT DISCHARGE '!C436</f>
        <v>0</v>
      </c>
      <c r="D436" s="52"/>
      <c r="E436" s="53"/>
      <c r="F436" s="52"/>
      <c r="G436" s="53"/>
      <c r="H436" s="63"/>
      <c r="I436" s="116"/>
      <c r="J436" s="3"/>
      <c r="K436" s="71"/>
      <c r="L436" s="53"/>
      <c r="M436" s="2"/>
      <c r="N436" s="1"/>
      <c r="O436" s="218">
        <f t="shared" si="13"/>
        <v>0</v>
      </c>
      <c r="P436" s="218">
        <f>O436+OCT!P436</f>
        <v>0</v>
      </c>
      <c r="Q436" s="60"/>
      <c r="R436" s="52"/>
      <c r="S436" s="66"/>
      <c r="T436" s="65"/>
      <c r="U436" s="68"/>
      <c r="V436" s="59"/>
      <c r="W436" s="6">
        <f>'CLIENT ENROLLMENT DISCHARGE '!M436</f>
        <v>0</v>
      </c>
      <c r="X436" s="76"/>
      <c r="Y436" s="180"/>
    </row>
    <row r="437" spans="1:25" ht="50.1" customHeight="1" x14ac:dyDescent="0.25">
      <c r="A437" s="5">
        <f t="shared" si="12"/>
        <v>423</v>
      </c>
      <c r="B437" s="10">
        <f>'CLIENT ENROLLMENT DISCHARGE '!B437</f>
        <v>0</v>
      </c>
      <c r="C437" s="4">
        <f>'CLIENT ENROLLMENT DISCHARGE '!C437</f>
        <v>0</v>
      </c>
      <c r="D437" s="51"/>
      <c r="E437" s="52"/>
      <c r="F437" s="51"/>
      <c r="G437" s="52"/>
      <c r="H437" s="62"/>
      <c r="I437" s="115"/>
      <c r="J437" s="9"/>
      <c r="K437" s="70"/>
      <c r="L437" s="52"/>
      <c r="M437" s="8"/>
      <c r="N437" s="7"/>
      <c r="O437" s="218">
        <f t="shared" si="13"/>
        <v>0</v>
      </c>
      <c r="P437" s="218">
        <f>O437+OCT!P437</f>
        <v>0</v>
      </c>
      <c r="Q437" s="59"/>
      <c r="R437" s="51"/>
      <c r="S437" s="65"/>
      <c r="T437" s="64"/>
      <c r="U437" s="67"/>
      <c r="V437" s="74"/>
      <c r="W437" s="6">
        <f>'CLIENT ENROLLMENT DISCHARGE '!M437</f>
        <v>0</v>
      </c>
      <c r="X437" s="76"/>
      <c r="Y437" s="180"/>
    </row>
    <row r="438" spans="1:25" ht="50.1" customHeight="1" x14ac:dyDescent="0.25">
      <c r="A438" s="5">
        <f t="shared" si="12"/>
        <v>424</v>
      </c>
      <c r="B438" s="10">
        <f>'CLIENT ENROLLMENT DISCHARGE '!B438</f>
        <v>0</v>
      </c>
      <c r="C438" s="4">
        <f>'CLIENT ENROLLMENT DISCHARGE '!C438</f>
        <v>0</v>
      </c>
      <c r="D438" s="52"/>
      <c r="E438" s="53"/>
      <c r="F438" s="52"/>
      <c r="G438" s="53"/>
      <c r="H438" s="63"/>
      <c r="I438" s="116"/>
      <c r="J438" s="3"/>
      <c r="K438" s="71"/>
      <c r="L438" s="53"/>
      <c r="M438" s="2"/>
      <c r="N438" s="1"/>
      <c r="O438" s="218">
        <f t="shared" si="13"/>
        <v>0</v>
      </c>
      <c r="P438" s="218">
        <f>O438+OCT!P438</f>
        <v>0</v>
      </c>
      <c r="Q438" s="60"/>
      <c r="R438" s="52"/>
      <c r="S438" s="66"/>
      <c r="T438" s="65"/>
      <c r="U438" s="68"/>
      <c r="V438" s="59"/>
      <c r="W438" s="6">
        <f>'CLIENT ENROLLMENT DISCHARGE '!M438</f>
        <v>0</v>
      </c>
      <c r="X438" s="76"/>
      <c r="Y438" s="180"/>
    </row>
    <row r="439" spans="1:25" ht="50.1" customHeight="1" x14ac:dyDescent="0.25">
      <c r="A439" s="5">
        <f t="shared" si="12"/>
        <v>425</v>
      </c>
      <c r="B439" s="10">
        <f>'CLIENT ENROLLMENT DISCHARGE '!B439</f>
        <v>0</v>
      </c>
      <c r="C439" s="4">
        <f>'CLIENT ENROLLMENT DISCHARGE '!C439</f>
        <v>0</v>
      </c>
      <c r="D439" s="51"/>
      <c r="E439" s="52"/>
      <c r="F439" s="51"/>
      <c r="G439" s="52"/>
      <c r="H439" s="62"/>
      <c r="I439" s="115"/>
      <c r="J439" s="9"/>
      <c r="K439" s="70"/>
      <c r="L439" s="52"/>
      <c r="M439" s="8"/>
      <c r="N439" s="7"/>
      <c r="O439" s="218">
        <f t="shared" si="13"/>
        <v>0</v>
      </c>
      <c r="P439" s="218">
        <f>O439+OCT!P439</f>
        <v>0</v>
      </c>
      <c r="Q439" s="59"/>
      <c r="R439" s="51"/>
      <c r="S439" s="65"/>
      <c r="T439" s="64"/>
      <c r="U439" s="67"/>
      <c r="V439" s="74"/>
      <c r="W439" s="6">
        <f>'CLIENT ENROLLMENT DISCHARGE '!M439</f>
        <v>0</v>
      </c>
      <c r="X439" s="76"/>
      <c r="Y439" s="180"/>
    </row>
    <row r="440" spans="1:25" ht="50.1" customHeight="1" x14ac:dyDescent="0.25">
      <c r="A440" s="5">
        <f t="shared" si="12"/>
        <v>426</v>
      </c>
      <c r="B440" s="10">
        <f>'CLIENT ENROLLMENT DISCHARGE '!B440</f>
        <v>0</v>
      </c>
      <c r="C440" s="4">
        <f>'CLIENT ENROLLMENT DISCHARGE '!C440</f>
        <v>0</v>
      </c>
      <c r="D440" s="52"/>
      <c r="E440" s="53"/>
      <c r="F440" s="52"/>
      <c r="G440" s="53"/>
      <c r="H440" s="63"/>
      <c r="I440" s="116"/>
      <c r="J440" s="3"/>
      <c r="K440" s="71"/>
      <c r="L440" s="53"/>
      <c r="M440" s="2"/>
      <c r="N440" s="1"/>
      <c r="O440" s="218">
        <f t="shared" si="13"/>
        <v>0</v>
      </c>
      <c r="P440" s="218">
        <f>O440+OCT!P440</f>
        <v>0</v>
      </c>
      <c r="Q440" s="60"/>
      <c r="R440" s="52"/>
      <c r="S440" s="66"/>
      <c r="T440" s="65"/>
      <c r="U440" s="68"/>
      <c r="V440" s="75"/>
      <c r="W440" s="6">
        <f>'CLIENT ENROLLMENT DISCHARGE '!M440</f>
        <v>0</v>
      </c>
      <c r="X440" s="76"/>
      <c r="Y440" s="180"/>
    </row>
    <row r="441" spans="1:25" ht="50.1" customHeight="1" x14ac:dyDescent="0.25">
      <c r="A441" s="5">
        <f t="shared" si="12"/>
        <v>427</v>
      </c>
      <c r="B441" s="10">
        <f>'CLIENT ENROLLMENT DISCHARGE '!B441</f>
        <v>0</v>
      </c>
      <c r="C441" s="4">
        <f>'CLIENT ENROLLMENT DISCHARGE '!C441</f>
        <v>0</v>
      </c>
      <c r="D441" s="51"/>
      <c r="E441" s="52"/>
      <c r="F441" s="51"/>
      <c r="G441" s="52"/>
      <c r="H441" s="62"/>
      <c r="I441" s="115"/>
      <c r="J441" s="9"/>
      <c r="K441" s="70"/>
      <c r="L441" s="52"/>
      <c r="M441" s="8"/>
      <c r="N441" s="7"/>
      <c r="O441" s="218">
        <f t="shared" si="13"/>
        <v>0</v>
      </c>
      <c r="P441" s="218">
        <f>O441+OCT!P441</f>
        <v>0</v>
      </c>
      <c r="Q441" s="59"/>
      <c r="R441" s="51"/>
      <c r="S441" s="65"/>
      <c r="T441" s="64"/>
      <c r="U441" s="67"/>
      <c r="V441" s="74"/>
      <c r="W441" s="6">
        <f>'CLIENT ENROLLMENT DISCHARGE '!M441</f>
        <v>0</v>
      </c>
      <c r="X441" s="76"/>
      <c r="Y441" s="180"/>
    </row>
    <row r="442" spans="1:25" ht="50.1" customHeight="1" x14ac:dyDescent="0.25">
      <c r="A442" s="5">
        <f t="shared" si="12"/>
        <v>428</v>
      </c>
      <c r="B442" s="10">
        <f>'CLIENT ENROLLMENT DISCHARGE '!B442</f>
        <v>0</v>
      </c>
      <c r="C442" s="4">
        <f>'CLIENT ENROLLMENT DISCHARGE '!C442</f>
        <v>0</v>
      </c>
      <c r="D442" s="52"/>
      <c r="E442" s="53"/>
      <c r="F442" s="52"/>
      <c r="G442" s="53"/>
      <c r="H442" s="63"/>
      <c r="I442" s="116"/>
      <c r="J442" s="3"/>
      <c r="K442" s="71"/>
      <c r="L442" s="53"/>
      <c r="M442" s="2"/>
      <c r="N442" s="1"/>
      <c r="O442" s="218">
        <f t="shared" si="13"/>
        <v>0</v>
      </c>
      <c r="P442" s="218">
        <f>O442+OCT!P442</f>
        <v>0</v>
      </c>
      <c r="Q442" s="60"/>
      <c r="R442" s="52"/>
      <c r="S442" s="66"/>
      <c r="T442" s="65"/>
      <c r="U442" s="68"/>
      <c r="V442" s="59"/>
      <c r="W442" s="6">
        <f>'CLIENT ENROLLMENT DISCHARGE '!M442</f>
        <v>0</v>
      </c>
      <c r="X442" s="76"/>
      <c r="Y442" s="180"/>
    </row>
    <row r="443" spans="1:25" ht="50.1" customHeight="1" x14ac:dyDescent="0.25">
      <c r="A443" s="5">
        <f t="shared" si="12"/>
        <v>429</v>
      </c>
      <c r="B443" s="10">
        <f>'CLIENT ENROLLMENT DISCHARGE '!B443</f>
        <v>0</v>
      </c>
      <c r="C443" s="4">
        <f>'CLIENT ENROLLMENT DISCHARGE '!C443</f>
        <v>0</v>
      </c>
      <c r="D443" s="51"/>
      <c r="E443" s="52"/>
      <c r="F443" s="51"/>
      <c r="G443" s="52"/>
      <c r="H443" s="62"/>
      <c r="I443" s="115"/>
      <c r="J443" s="9"/>
      <c r="K443" s="70"/>
      <c r="L443" s="52"/>
      <c r="M443" s="8"/>
      <c r="N443" s="7"/>
      <c r="O443" s="218">
        <f t="shared" si="13"/>
        <v>0</v>
      </c>
      <c r="P443" s="218">
        <f>O443+OCT!P443</f>
        <v>0</v>
      </c>
      <c r="Q443" s="59"/>
      <c r="R443" s="51"/>
      <c r="S443" s="65"/>
      <c r="T443" s="64"/>
      <c r="U443" s="67"/>
      <c r="V443" s="74"/>
      <c r="W443" s="6">
        <f>'CLIENT ENROLLMENT DISCHARGE '!M443</f>
        <v>0</v>
      </c>
      <c r="X443" s="76"/>
      <c r="Y443" s="180"/>
    </row>
    <row r="444" spans="1:25" ht="50.1" customHeight="1" x14ac:dyDescent="0.25">
      <c r="A444" s="5">
        <f t="shared" si="12"/>
        <v>430</v>
      </c>
      <c r="B444" s="10">
        <f>'CLIENT ENROLLMENT DISCHARGE '!B444</f>
        <v>0</v>
      </c>
      <c r="C444" s="4">
        <f>'CLIENT ENROLLMENT DISCHARGE '!C444</f>
        <v>0</v>
      </c>
      <c r="D444" s="52"/>
      <c r="E444" s="53"/>
      <c r="F444" s="52"/>
      <c r="G444" s="53"/>
      <c r="H444" s="63"/>
      <c r="I444" s="116"/>
      <c r="J444" s="3"/>
      <c r="K444" s="71"/>
      <c r="L444" s="53"/>
      <c r="M444" s="2"/>
      <c r="N444" s="1"/>
      <c r="O444" s="218">
        <f t="shared" si="13"/>
        <v>0</v>
      </c>
      <c r="P444" s="218">
        <f>O444+OCT!P444</f>
        <v>0</v>
      </c>
      <c r="Q444" s="60"/>
      <c r="R444" s="52"/>
      <c r="S444" s="66"/>
      <c r="T444" s="65"/>
      <c r="U444" s="68"/>
      <c r="V444" s="59"/>
      <c r="W444" s="6">
        <f>'CLIENT ENROLLMENT DISCHARGE '!M444</f>
        <v>0</v>
      </c>
      <c r="X444" s="76"/>
      <c r="Y444" s="180"/>
    </row>
    <row r="445" spans="1:25" ht="50.1" customHeight="1" x14ac:dyDescent="0.25">
      <c r="A445" s="5">
        <f t="shared" si="12"/>
        <v>431</v>
      </c>
      <c r="B445" s="10">
        <f>'CLIENT ENROLLMENT DISCHARGE '!B445</f>
        <v>0</v>
      </c>
      <c r="C445" s="4">
        <f>'CLIENT ENROLLMENT DISCHARGE '!C445</f>
        <v>0</v>
      </c>
      <c r="D445" s="51"/>
      <c r="E445" s="52"/>
      <c r="F445" s="51"/>
      <c r="G445" s="52"/>
      <c r="H445" s="62"/>
      <c r="I445" s="115"/>
      <c r="J445" s="9"/>
      <c r="K445" s="70"/>
      <c r="L445" s="52"/>
      <c r="M445" s="8"/>
      <c r="N445" s="7"/>
      <c r="O445" s="218">
        <f t="shared" si="13"/>
        <v>0</v>
      </c>
      <c r="P445" s="218">
        <f>O445+OCT!P445</f>
        <v>0</v>
      </c>
      <c r="Q445" s="59"/>
      <c r="R445" s="51"/>
      <c r="S445" s="65"/>
      <c r="T445" s="64"/>
      <c r="U445" s="67"/>
      <c r="V445" s="74"/>
      <c r="W445" s="6">
        <f>'CLIENT ENROLLMENT DISCHARGE '!M445</f>
        <v>0</v>
      </c>
      <c r="X445" s="76"/>
      <c r="Y445" s="180"/>
    </row>
    <row r="446" spans="1:25" ht="50.1" customHeight="1" x14ac:dyDescent="0.25">
      <c r="A446" s="5">
        <f t="shared" si="12"/>
        <v>432</v>
      </c>
      <c r="B446" s="10">
        <f>'CLIENT ENROLLMENT DISCHARGE '!B446</f>
        <v>0</v>
      </c>
      <c r="C446" s="4">
        <f>'CLIENT ENROLLMENT DISCHARGE '!C446</f>
        <v>0</v>
      </c>
      <c r="D446" s="52"/>
      <c r="E446" s="53"/>
      <c r="F446" s="52"/>
      <c r="G446" s="53"/>
      <c r="H446" s="63"/>
      <c r="I446" s="116"/>
      <c r="J446" s="3"/>
      <c r="K446" s="71"/>
      <c r="L446" s="53"/>
      <c r="M446" s="2"/>
      <c r="N446" s="1"/>
      <c r="O446" s="218">
        <f t="shared" si="13"/>
        <v>0</v>
      </c>
      <c r="P446" s="218">
        <f>O446+OCT!P446</f>
        <v>0</v>
      </c>
      <c r="Q446" s="60"/>
      <c r="R446" s="52"/>
      <c r="S446" s="66"/>
      <c r="T446" s="65"/>
      <c r="U446" s="68"/>
      <c r="V446" s="59"/>
      <c r="W446" s="6">
        <f>'CLIENT ENROLLMENT DISCHARGE '!M446</f>
        <v>0</v>
      </c>
      <c r="X446" s="76"/>
      <c r="Y446" s="180"/>
    </row>
    <row r="447" spans="1:25" ht="50.1" customHeight="1" x14ac:dyDescent="0.25">
      <c r="A447" s="5">
        <f t="shared" si="12"/>
        <v>433</v>
      </c>
      <c r="B447" s="10">
        <f>'CLIENT ENROLLMENT DISCHARGE '!B447</f>
        <v>0</v>
      </c>
      <c r="C447" s="4">
        <f>'CLIENT ENROLLMENT DISCHARGE '!C447</f>
        <v>0</v>
      </c>
      <c r="D447" s="51"/>
      <c r="E447" s="52"/>
      <c r="F447" s="51"/>
      <c r="G447" s="52"/>
      <c r="H447" s="62"/>
      <c r="I447" s="115"/>
      <c r="J447" s="9"/>
      <c r="K447" s="70"/>
      <c r="L447" s="52"/>
      <c r="M447" s="8"/>
      <c r="N447" s="7"/>
      <c r="O447" s="218">
        <f t="shared" si="13"/>
        <v>0</v>
      </c>
      <c r="P447" s="218">
        <f>O447+OCT!P447</f>
        <v>0</v>
      </c>
      <c r="Q447" s="59"/>
      <c r="R447" s="51"/>
      <c r="S447" s="65"/>
      <c r="T447" s="64"/>
      <c r="U447" s="67"/>
      <c r="V447" s="74"/>
      <c r="W447" s="6">
        <f>'CLIENT ENROLLMENT DISCHARGE '!M447</f>
        <v>0</v>
      </c>
      <c r="X447" s="76"/>
      <c r="Y447" s="180"/>
    </row>
    <row r="448" spans="1:25" ht="50.1" customHeight="1" x14ac:dyDescent="0.25">
      <c r="A448" s="5">
        <f t="shared" si="12"/>
        <v>434</v>
      </c>
      <c r="B448" s="10">
        <f>'CLIENT ENROLLMENT DISCHARGE '!B448</f>
        <v>0</v>
      </c>
      <c r="C448" s="4">
        <f>'CLIENT ENROLLMENT DISCHARGE '!C448</f>
        <v>0</v>
      </c>
      <c r="D448" s="52"/>
      <c r="E448" s="53"/>
      <c r="F448" s="52"/>
      <c r="G448" s="53"/>
      <c r="H448" s="63"/>
      <c r="I448" s="116"/>
      <c r="J448" s="3"/>
      <c r="K448" s="71"/>
      <c r="L448" s="53"/>
      <c r="M448" s="2"/>
      <c r="N448" s="1"/>
      <c r="O448" s="218">
        <f t="shared" si="13"/>
        <v>0</v>
      </c>
      <c r="P448" s="218">
        <f>O448+OCT!P448</f>
        <v>0</v>
      </c>
      <c r="Q448" s="60"/>
      <c r="R448" s="52"/>
      <c r="S448" s="66"/>
      <c r="T448" s="65"/>
      <c r="U448" s="68"/>
      <c r="V448" s="59"/>
      <c r="W448" s="6">
        <f>'CLIENT ENROLLMENT DISCHARGE '!M448</f>
        <v>0</v>
      </c>
      <c r="X448" s="76"/>
      <c r="Y448" s="180"/>
    </row>
    <row r="449" spans="1:25" ht="50.1" customHeight="1" x14ac:dyDescent="0.25">
      <c r="A449" s="5">
        <f t="shared" si="12"/>
        <v>435</v>
      </c>
      <c r="B449" s="10">
        <f>'CLIENT ENROLLMENT DISCHARGE '!B449</f>
        <v>0</v>
      </c>
      <c r="C449" s="4">
        <f>'CLIENT ENROLLMENT DISCHARGE '!C449</f>
        <v>0</v>
      </c>
      <c r="D449" s="51"/>
      <c r="E449" s="52"/>
      <c r="F449" s="51"/>
      <c r="G449" s="52"/>
      <c r="H449" s="62"/>
      <c r="I449" s="115"/>
      <c r="J449" s="9"/>
      <c r="K449" s="70"/>
      <c r="L449" s="52"/>
      <c r="M449" s="8"/>
      <c r="N449" s="7"/>
      <c r="O449" s="218">
        <f t="shared" si="13"/>
        <v>0</v>
      </c>
      <c r="P449" s="218">
        <f>O449+OCT!P449</f>
        <v>0</v>
      </c>
      <c r="Q449" s="59"/>
      <c r="R449" s="51"/>
      <c r="S449" s="65"/>
      <c r="T449" s="64"/>
      <c r="U449" s="67"/>
      <c r="V449" s="74"/>
      <c r="W449" s="6">
        <f>'CLIENT ENROLLMENT DISCHARGE '!M449</f>
        <v>0</v>
      </c>
      <c r="X449" s="76"/>
      <c r="Y449" s="180"/>
    </row>
    <row r="450" spans="1:25" ht="50.1" customHeight="1" x14ac:dyDescent="0.25">
      <c r="A450" s="5">
        <f t="shared" si="12"/>
        <v>436</v>
      </c>
      <c r="B450" s="10">
        <f>'CLIENT ENROLLMENT DISCHARGE '!B450</f>
        <v>0</v>
      </c>
      <c r="C450" s="4">
        <f>'CLIENT ENROLLMENT DISCHARGE '!C450</f>
        <v>0</v>
      </c>
      <c r="D450" s="52"/>
      <c r="E450" s="53"/>
      <c r="F450" s="52"/>
      <c r="G450" s="53"/>
      <c r="H450" s="63"/>
      <c r="I450" s="116"/>
      <c r="J450" s="3"/>
      <c r="K450" s="71"/>
      <c r="L450" s="53"/>
      <c r="M450" s="2"/>
      <c r="N450" s="1"/>
      <c r="O450" s="218">
        <f t="shared" si="13"/>
        <v>0</v>
      </c>
      <c r="P450" s="218">
        <f>O450+OCT!P450</f>
        <v>0</v>
      </c>
      <c r="Q450" s="60"/>
      <c r="R450" s="52"/>
      <c r="S450" s="66"/>
      <c r="T450" s="65"/>
      <c r="U450" s="68"/>
      <c r="V450" s="75"/>
      <c r="W450" s="6">
        <f>'CLIENT ENROLLMENT DISCHARGE '!M450</f>
        <v>0</v>
      </c>
      <c r="X450" s="76"/>
      <c r="Y450" s="180"/>
    </row>
    <row r="451" spans="1:25" ht="50.1" customHeight="1" x14ac:dyDescent="0.25">
      <c r="A451" s="5">
        <f t="shared" si="12"/>
        <v>437</v>
      </c>
      <c r="B451" s="10">
        <f>'CLIENT ENROLLMENT DISCHARGE '!B451</f>
        <v>0</v>
      </c>
      <c r="C451" s="4">
        <f>'CLIENT ENROLLMENT DISCHARGE '!C451</f>
        <v>0</v>
      </c>
      <c r="D451" s="51"/>
      <c r="E451" s="52"/>
      <c r="F451" s="51"/>
      <c r="G451" s="52"/>
      <c r="H451" s="62"/>
      <c r="I451" s="115"/>
      <c r="J451" s="9"/>
      <c r="K451" s="70"/>
      <c r="L451" s="52"/>
      <c r="M451" s="8"/>
      <c r="N451" s="7"/>
      <c r="O451" s="218">
        <f t="shared" si="13"/>
        <v>0</v>
      </c>
      <c r="P451" s="218">
        <f>O451+OCT!P451</f>
        <v>0</v>
      </c>
      <c r="Q451" s="59"/>
      <c r="R451" s="51"/>
      <c r="S451" s="65"/>
      <c r="T451" s="64"/>
      <c r="U451" s="67"/>
      <c r="V451" s="74"/>
      <c r="W451" s="6">
        <f>'CLIENT ENROLLMENT DISCHARGE '!M451</f>
        <v>0</v>
      </c>
      <c r="X451" s="76"/>
      <c r="Y451" s="180"/>
    </row>
    <row r="452" spans="1:25" ht="50.1" customHeight="1" x14ac:dyDescent="0.25">
      <c r="A452" s="5">
        <f t="shared" si="12"/>
        <v>438</v>
      </c>
      <c r="B452" s="10">
        <f>'CLIENT ENROLLMENT DISCHARGE '!B452</f>
        <v>0</v>
      </c>
      <c r="C452" s="4">
        <f>'CLIENT ENROLLMENT DISCHARGE '!C452</f>
        <v>0</v>
      </c>
      <c r="D452" s="52"/>
      <c r="E452" s="53"/>
      <c r="F452" s="52"/>
      <c r="G452" s="53"/>
      <c r="H452" s="63"/>
      <c r="I452" s="116"/>
      <c r="J452" s="3"/>
      <c r="K452" s="71"/>
      <c r="L452" s="53"/>
      <c r="M452" s="2"/>
      <c r="N452" s="1"/>
      <c r="O452" s="218">
        <f t="shared" si="13"/>
        <v>0</v>
      </c>
      <c r="P452" s="218">
        <f>O452+OCT!P452</f>
        <v>0</v>
      </c>
      <c r="Q452" s="60"/>
      <c r="R452" s="52"/>
      <c r="S452" s="66"/>
      <c r="T452" s="65"/>
      <c r="U452" s="68"/>
      <c r="V452" s="59"/>
      <c r="W452" s="6">
        <f>'CLIENT ENROLLMENT DISCHARGE '!M452</f>
        <v>0</v>
      </c>
      <c r="X452" s="76"/>
      <c r="Y452" s="180"/>
    </row>
    <row r="453" spans="1:25" ht="50.1" customHeight="1" x14ac:dyDescent="0.25">
      <c r="A453" s="5">
        <f t="shared" si="12"/>
        <v>439</v>
      </c>
      <c r="B453" s="10">
        <f>'CLIENT ENROLLMENT DISCHARGE '!B453</f>
        <v>0</v>
      </c>
      <c r="C453" s="4">
        <f>'CLIENT ENROLLMENT DISCHARGE '!C453</f>
        <v>0</v>
      </c>
      <c r="D453" s="51"/>
      <c r="E453" s="52"/>
      <c r="F453" s="51"/>
      <c r="G453" s="52"/>
      <c r="H453" s="62"/>
      <c r="I453" s="115"/>
      <c r="J453" s="9"/>
      <c r="K453" s="70"/>
      <c r="L453" s="52"/>
      <c r="M453" s="8"/>
      <c r="N453" s="7"/>
      <c r="O453" s="218">
        <f t="shared" si="13"/>
        <v>0</v>
      </c>
      <c r="P453" s="218">
        <f>O453+OCT!P453</f>
        <v>0</v>
      </c>
      <c r="Q453" s="59"/>
      <c r="R453" s="51"/>
      <c r="S453" s="65"/>
      <c r="T453" s="64"/>
      <c r="U453" s="67"/>
      <c r="V453" s="74"/>
      <c r="W453" s="6">
        <f>'CLIENT ENROLLMENT DISCHARGE '!M453</f>
        <v>0</v>
      </c>
      <c r="X453" s="76"/>
      <c r="Y453" s="180"/>
    </row>
    <row r="454" spans="1:25" ht="50.1" customHeight="1" x14ac:dyDescent="0.25">
      <c r="A454" s="5">
        <f t="shared" si="12"/>
        <v>440</v>
      </c>
      <c r="B454" s="10">
        <f>'CLIENT ENROLLMENT DISCHARGE '!B454</f>
        <v>0</v>
      </c>
      <c r="C454" s="4">
        <f>'CLIENT ENROLLMENT DISCHARGE '!C454</f>
        <v>0</v>
      </c>
      <c r="D454" s="52"/>
      <c r="E454" s="53"/>
      <c r="F454" s="52"/>
      <c r="G454" s="53"/>
      <c r="H454" s="63"/>
      <c r="I454" s="116"/>
      <c r="J454" s="3"/>
      <c r="K454" s="71"/>
      <c r="L454" s="53"/>
      <c r="M454" s="2"/>
      <c r="N454" s="1"/>
      <c r="O454" s="218">
        <f t="shared" si="13"/>
        <v>0</v>
      </c>
      <c r="P454" s="218">
        <f>O454+OCT!P454</f>
        <v>0</v>
      </c>
      <c r="Q454" s="60"/>
      <c r="R454" s="52"/>
      <c r="S454" s="66"/>
      <c r="T454" s="65"/>
      <c r="U454" s="68"/>
      <c r="V454" s="59"/>
      <c r="W454" s="6">
        <f>'CLIENT ENROLLMENT DISCHARGE '!M454</f>
        <v>0</v>
      </c>
      <c r="X454" s="76"/>
      <c r="Y454" s="180"/>
    </row>
    <row r="455" spans="1:25" ht="50.1" customHeight="1" x14ac:dyDescent="0.25">
      <c r="A455" s="5">
        <f t="shared" si="12"/>
        <v>441</v>
      </c>
      <c r="B455" s="10">
        <f>'CLIENT ENROLLMENT DISCHARGE '!B455</f>
        <v>0</v>
      </c>
      <c r="C455" s="4">
        <f>'CLIENT ENROLLMENT DISCHARGE '!C455</f>
        <v>0</v>
      </c>
      <c r="D455" s="51"/>
      <c r="E455" s="52"/>
      <c r="F455" s="51"/>
      <c r="G455" s="52"/>
      <c r="H455" s="62"/>
      <c r="I455" s="115"/>
      <c r="J455" s="9"/>
      <c r="K455" s="70"/>
      <c r="L455" s="52"/>
      <c r="M455" s="8"/>
      <c r="N455" s="7"/>
      <c r="O455" s="218">
        <f t="shared" si="13"/>
        <v>0</v>
      </c>
      <c r="P455" s="218">
        <f>O455+OCT!P455</f>
        <v>0</v>
      </c>
      <c r="Q455" s="59"/>
      <c r="R455" s="51"/>
      <c r="S455" s="65"/>
      <c r="T455" s="64"/>
      <c r="U455" s="67"/>
      <c r="V455" s="74"/>
      <c r="W455" s="6">
        <f>'CLIENT ENROLLMENT DISCHARGE '!M455</f>
        <v>0</v>
      </c>
      <c r="X455" s="76"/>
      <c r="Y455" s="180"/>
    </row>
    <row r="456" spans="1:25" ht="50.1" customHeight="1" x14ac:dyDescent="0.25">
      <c r="A456" s="5">
        <f t="shared" si="12"/>
        <v>442</v>
      </c>
      <c r="B456" s="10">
        <f>'CLIENT ENROLLMENT DISCHARGE '!B456</f>
        <v>0</v>
      </c>
      <c r="C456" s="4">
        <f>'CLIENT ENROLLMENT DISCHARGE '!C456</f>
        <v>0</v>
      </c>
      <c r="D456" s="52"/>
      <c r="E456" s="53"/>
      <c r="F456" s="52"/>
      <c r="G456" s="53"/>
      <c r="H456" s="63"/>
      <c r="I456" s="116"/>
      <c r="J456" s="3"/>
      <c r="K456" s="71"/>
      <c r="L456" s="53"/>
      <c r="M456" s="2"/>
      <c r="N456" s="1"/>
      <c r="O456" s="218">
        <f t="shared" si="13"/>
        <v>0</v>
      </c>
      <c r="P456" s="218">
        <f>O456+OCT!P456</f>
        <v>0</v>
      </c>
      <c r="Q456" s="60"/>
      <c r="R456" s="52"/>
      <c r="S456" s="66"/>
      <c r="T456" s="65"/>
      <c r="U456" s="68"/>
      <c r="V456" s="59"/>
      <c r="W456" s="6">
        <f>'CLIENT ENROLLMENT DISCHARGE '!M456</f>
        <v>0</v>
      </c>
      <c r="X456" s="76"/>
      <c r="Y456" s="180"/>
    </row>
    <row r="457" spans="1:25" ht="50.1" customHeight="1" x14ac:dyDescent="0.25">
      <c r="A457" s="5">
        <f t="shared" si="12"/>
        <v>443</v>
      </c>
      <c r="B457" s="10">
        <f>'CLIENT ENROLLMENT DISCHARGE '!B457</f>
        <v>0</v>
      </c>
      <c r="C457" s="4">
        <f>'CLIENT ENROLLMENT DISCHARGE '!C457</f>
        <v>0</v>
      </c>
      <c r="D457" s="51"/>
      <c r="E457" s="52"/>
      <c r="F457" s="51"/>
      <c r="G457" s="52"/>
      <c r="H457" s="62"/>
      <c r="I457" s="115"/>
      <c r="J457" s="9"/>
      <c r="K457" s="70"/>
      <c r="L457" s="52"/>
      <c r="M457" s="8"/>
      <c r="N457" s="7"/>
      <c r="O457" s="218">
        <f t="shared" si="13"/>
        <v>0</v>
      </c>
      <c r="P457" s="218">
        <f>O457+OCT!P457</f>
        <v>0</v>
      </c>
      <c r="Q457" s="59"/>
      <c r="R457" s="51"/>
      <c r="S457" s="65"/>
      <c r="T457" s="64"/>
      <c r="U457" s="67"/>
      <c r="V457" s="74"/>
      <c r="W457" s="6">
        <f>'CLIENT ENROLLMENT DISCHARGE '!M457</f>
        <v>0</v>
      </c>
      <c r="X457" s="76"/>
      <c r="Y457" s="180"/>
    </row>
    <row r="458" spans="1:25" ht="50.1" customHeight="1" x14ac:dyDescent="0.25">
      <c r="A458" s="5">
        <f t="shared" si="12"/>
        <v>444</v>
      </c>
      <c r="B458" s="10">
        <f>'CLIENT ENROLLMENT DISCHARGE '!B458</f>
        <v>0</v>
      </c>
      <c r="C458" s="4">
        <f>'CLIENT ENROLLMENT DISCHARGE '!C458</f>
        <v>0</v>
      </c>
      <c r="D458" s="52"/>
      <c r="E458" s="53"/>
      <c r="F458" s="52"/>
      <c r="G458" s="53"/>
      <c r="H458" s="63"/>
      <c r="I458" s="116"/>
      <c r="J458" s="3"/>
      <c r="K458" s="71"/>
      <c r="L458" s="53"/>
      <c r="M458" s="2"/>
      <c r="N458" s="1"/>
      <c r="O458" s="218">
        <f t="shared" si="13"/>
        <v>0</v>
      </c>
      <c r="P458" s="218">
        <f>O458+OCT!P458</f>
        <v>0</v>
      </c>
      <c r="Q458" s="60"/>
      <c r="R458" s="52"/>
      <c r="S458" s="66"/>
      <c r="T458" s="65"/>
      <c r="U458" s="68"/>
      <c r="V458" s="59"/>
      <c r="W458" s="6">
        <f>'CLIENT ENROLLMENT DISCHARGE '!M458</f>
        <v>0</v>
      </c>
      <c r="X458" s="76"/>
      <c r="Y458" s="180"/>
    </row>
    <row r="459" spans="1:25" ht="50.1" customHeight="1" x14ac:dyDescent="0.25">
      <c r="A459" s="5">
        <f t="shared" si="12"/>
        <v>445</v>
      </c>
      <c r="B459" s="10">
        <f>'CLIENT ENROLLMENT DISCHARGE '!B459</f>
        <v>0</v>
      </c>
      <c r="C459" s="4">
        <f>'CLIENT ENROLLMENT DISCHARGE '!C459</f>
        <v>0</v>
      </c>
      <c r="D459" s="51"/>
      <c r="E459" s="52"/>
      <c r="F459" s="51"/>
      <c r="G459" s="52"/>
      <c r="H459" s="62"/>
      <c r="I459" s="115"/>
      <c r="J459" s="9"/>
      <c r="K459" s="70"/>
      <c r="L459" s="52"/>
      <c r="M459" s="8"/>
      <c r="N459" s="7"/>
      <c r="O459" s="218">
        <f t="shared" si="13"/>
        <v>0</v>
      </c>
      <c r="P459" s="218">
        <f>O459+OCT!P459</f>
        <v>0</v>
      </c>
      <c r="Q459" s="59"/>
      <c r="R459" s="51"/>
      <c r="S459" s="65"/>
      <c r="T459" s="64"/>
      <c r="U459" s="67"/>
      <c r="V459" s="74"/>
      <c r="W459" s="6">
        <f>'CLIENT ENROLLMENT DISCHARGE '!M459</f>
        <v>0</v>
      </c>
      <c r="X459" s="76"/>
      <c r="Y459" s="180"/>
    </row>
    <row r="460" spans="1:25" ht="50.1" customHeight="1" x14ac:dyDescent="0.25">
      <c r="A460" s="5">
        <f t="shared" si="12"/>
        <v>446</v>
      </c>
      <c r="B460" s="10">
        <f>'CLIENT ENROLLMENT DISCHARGE '!B460</f>
        <v>0</v>
      </c>
      <c r="C460" s="4">
        <f>'CLIENT ENROLLMENT DISCHARGE '!C460</f>
        <v>0</v>
      </c>
      <c r="D460" s="52"/>
      <c r="E460" s="53"/>
      <c r="F460" s="52"/>
      <c r="G460" s="53"/>
      <c r="H460" s="63"/>
      <c r="I460" s="116"/>
      <c r="J460" s="3"/>
      <c r="K460" s="71"/>
      <c r="L460" s="53"/>
      <c r="M460" s="2"/>
      <c r="N460" s="1"/>
      <c r="O460" s="218">
        <f t="shared" si="13"/>
        <v>0</v>
      </c>
      <c r="P460" s="218">
        <f>O460+OCT!P460</f>
        <v>0</v>
      </c>
      <c r="Q460" s="60"/>
      <c r="R460" s="52"/>
      <c r="S460" s="66"/>
      <c r="T460" s="65"/>
      <c r="U460" s="68"/>
      <c r="V460" s="75"/>
      <c r="W460" s="6">
        <f>'CLIENT ENROLLMENT DISCHARGE '!M460</f>
        <v>0</v>
      </c>
      <c r="X460" s="76"/>
      <c r="Y460" s="180"/>
    </row>
    <row r="461" spans="1:25" ht="50.1" customHeight="1" x14ac:dyDescent="0.25">
      <c r="A461" s="5">
        <f t="shared" si="12"/>
        <v>447</v>
      </c>
      <c r="B461" s="10">
        <f>'CLIENT ENROLLMENT DISCHARGE '!B461</f>
        <v>0</v>
      </c>
      <c r="C461" s="4">
        <f>'CLIENT ENROLLMENT DISCHARGE '!C461</f>
        <v>0</v>
      </c>
      <c r="D461" s="51"/>
      <c r="E461" s="52"/>
      <c r="F461" s="51"/>
      <c r="G461" s="52"/>
      <c r="H461" s="62"/>
      <c r="I461" s="115"/>
      <c r="J461" s="9"/>
      <c r="K461" s="70"/>
      <c r="L461" s="52"/>
      <c r="M461" s="8"/>
      <c r="N461" s="7"/>
      <c r="O461" s="218">
        <f t="shared" si="13"/>
        <v>0</v>
      </c>
      <c r="P461" s="218">
        <f>O461+OCT!P461</f>
        <v>0</v>
      </c>
      <c r="Q461" s="59"/>
      <c r="R461" s="51"/>
      <c r="S461" s="65"/>
      <c r="T461" s="64"/>
      <c r="U461" s="67"/>
      <c r="V461" s="74"/>
      <c r="W461" s="6">
        <f>'CLIENT ENROLLMENT DISCHARGE '!M461</f>
        <v>0</v>
      </c>
      <c r="X461" s="76"/>
      <c r="Y461" s="180"/>
    </row>
    <row r="462" spans="1:25" ht="50.1" customHeight="1" x14ac:dyDescent="0.25">
      <c r="A462" s="5">
        <f t="shared" si="12"/>
        <v>448</v>
      </c>
      <c r="B462" s="10">
        <f>'CLIENT ENROLLMENT DISCHARGE '!B462</f>
        <v>0</v>
      </c>
      <c r="C462" s="4">
        <f>'CLIENT ENROLLMENT DISCHARGE '!C462</f>
        <v>0</v>
      </c>
      <c r="D462" s="52"/>
      <c r="E462" s="53"/>
      <c r="F462" s="52"/>
      <c r="G462" s="53"/>
      <c r="H462" s="63"/>
      <c r="I462" s="116"/>
      <c r="J462" s="3"/>
      <c r="K462" s="71"/>
      <c r="L462" s="53"/>
      <c r="M462" s="2"/>
      <c r="N462" s="1"/>
      <c r="O462" s="218">
        <f t="shared" si="13"/>
        <v>0</v>
      </c>
      <c r="P462" s="218">
        <f>O462+OCT!P462</f>
        <v>0</v>
      </c>
      <c r="Q462" s="60"/>
      <c r="R462" s="52"/>
      <c r="S462" s="66"/>
      <c r="T462" s="65"/>
      <c r="U462" s="68"/>
      <c r="V462" s="59"/>
      <c r="W462" s="6">
        <f>'CLIENT ENROLLMENT DISCHARGE '!M462</f>
        <v>0</v>
      </c>
      <c r="X462" s="76"/>
      <c r="Y462" s="180"/>
    </row>
    <row r="463" spans="1:25" ht="50.1" customHeight="1" x14ac:dyDescent="0.25">
      <c r="A463" s="5">
        <f t="shared" si="12"/>
        <v>449</v>
      </c>
      <c r="B463" s="10">
        <f>'CLIENT ENROLLMENT DISCHARGE '!B463</f>
        <v>0</v>
      </c>
      <c r="C463" s="4">
        <f>'CLIENT ENROLLMENT DISCHARGE '!C463</f>
        <v>0</v>
      </c>
      <c r="D463" s="51"/>
      <c r="E463" s="52"/>
      <c r="F463" s="51"/>
      <c r="G463" s="52"/>
      <c r="H463" s="62"/>
      <c r="I463" s="115"/>
      <c r="J463" s="9"/>
      <c r="K463" s="70"/>
      <c r="L463" s="52"/>
      <c r="M463" s="8"/>
      <c r="N463" s="7"/>
      <c r="O463" s="218">
        <f t="shared" si="13"/>
        <v>0</v>
      </c>
      <c r="P463" s="218">
        <f>O463+OCT!P463</f>
        <v>0</v>
      </c>
      <c r="Q463" s="59"/>
      <c r="R463" s="51"/>
      <c r="S463" s="65"/>
      <c r="T463" s="64"/>
      <c r="U463" s="67"/>
      <c r="V463" s="74"/>
      <c r="W463" s="6">
        <f>'CLIENT ENROLLMENT DISCHARGE '!M463</f>
        <v>0</v>
      </c>
      <c r="X463" s="76"/>
      <c r="Y463" s="180"/>
    </row>
    <row r="464" spans="1:25" ht="50.1" customHeight="1" x14ac:dyDescent="0.25">
      <c r="A464" s="5">
        <f t="shared" ref="A464:A514" si="14">ROW(A450)</f>
        <v>450</v>
      </c>
      <c r="B464" s="10">
        <f>'CLIENT ENROLLMENT DISCHARGE '!B464</f>
        <v>0</v>
      </c>
      <c r="C464" s="4">
        <f>'CLIENT ENROLLMENT DISCHARGE '!C464</f>
        <v>0</v>
      </c>
      <c r="D464" s="52"/>
      <c r="E464" s="53"/>
      <c r="F464" s="52"/>
      <c r="G464" s="53"/>
      <c r="H464" s="63"/>
      <c r="I464" s="116"/>
      <c r="J464" s="3"/>
      <c r="K464" s="71"/>
      <c r="L464" s="53"/>
      <c r="M464" s="2"/>
      <c r="N464" s="1"/>
      <c r="O464" s="218">
        <f t="shared" ref="O464:O514" si="15">K464*N464</f>
        <v>0</v>
      </c>
      <c r="P464" s="218">
        <f>O464+OCT!P464</f>
        <v>0</v>
      </c>
      <c r="Q464" s="60"/>
      <c r="R464" s="52"/>
      <c r="S464" s="66"/>
      <c r="T464" s="65"/>
      <c r="U464" s="68"/>
      <c r="V464" s="59"/>
      <c r="W464" s="6">
        <f>'CLIENT ENROLLMENT DISCHARGE '!M464</f>
        <v>0</v>
      </c>
      <c r="X464" s="76"/>
      <c r="Y464" s="180"/>
    </row>
    <row r="465" spans="1:25" ht="50.1" customHeight="1" x14ac:dyDescent="0.25">
      <c r="A465" s="5">
        <f t="shared" si="14"/>
        <v>451</v>
      </c>
      <c r="B465" s="10">
        <f>'CLIENT ENROLLMENT DISCHARGE '!B465</f>
        <v>0</v>
      </c>
      <c r="C465" s="4">
        <f>'CLIENT ENROLLMENT DISCHARGE '!C465</f>
        <v>0</v>
      </c>
      <c r="D465" s="51"/>
      <c r="E465" s="52"/>
      <c r="F465" s="51"/>
      <c r="G465" s="52"/>
      <c r="H465" s="62"/>
      <c r="I465" s="115"/>
      <c r="J465" s="9"/>
      <c r="K465" s="70"/>
      <c r="L465" s="52"/>
      <c r="M465" s="8"/>
      <c r="N465" s="7"/>
      <c r="O465" s="218">
        <f t="shared" si="15"/>
        <v>0</v>
      </c>
      <c r="P465" s="218">
        <f>O465+OCT!P465</f>
        <v>0</v>
      </c>
      <c r="Q465" s="59"/>
      <c r="R465" s="51"/>
      <c r="S465" s="65"/>
      <c r="T465" s="64"/>
      <c r="U465" s="67"/>
      <c r="V465" s="74"/>
      <c r="W465" s="6">
        <f>'CLIENT ENROLLMENT DISCHARGE '!M465</f>
        <v>0</v>
      </c>
      <c r="X465" s="76"/>
      <c r="Y465" s="180"/>
    </row>
    <row r="466" spans="1:25" ht="50.1" customHeight="1" x14ac:dyDescent="0.25">
      <c r="A466" s="5">
        <f t="shared" si="14"/>
        <v>452</v>
      </c>
      <c r="B466" s="10">
        <f>'CLIENT ENROLLMENT DISCHARGE '!B466</f>
        <v>0</v>
      </c>
      <c r="C466" s="4">
        <f>'CLIENT ENROLLMENT DISCHARGE '!C466</f>
        <v>0</v>
      </c>
      <c r="D466" s="52"/>
      <c r="E466" s="53"/>
      <c r="F466" s="52"/>
      <c r="G466" s="53"/>
      <c r="H466" s="63"/>
      <c r="I466" s="116"/>
      <c r="J466" s="3"/>
      <c r="K466" s="71"/>
      <c r="L466" s="53"/>
      <c r="M466" s="2"/>
      <c r="N466" s="1"/>
      <c r="O466" s="218">
        <f t="shared" si="15"/>
        <v>0</v>
      </c>
      <c r="P466" s="218">
        <f>O466+OCT!P466</f>
        <v>0</v>
      </c>
      <c r="Q466" s="60"/>
      <c r="R466" s="52"/>
      <c r="S466" s="66"/>
      <c r="T466" s="65"/>
      <c r="U466" s="68"/>
      <c r="V466" s="59"/>
      <c r="W466" s="6">
        <f>'CLIENT ENROLLMENT DISCHARGE '!M466</f>
        <v>0</v>
      </c>
      <c r="X466" s="76"/>
      <c r="Y466" s="180"/>
    </row>
    <row r="467" spans="1:25" ht="50.1" customHeight="1" x14ac:dyDescent="0.25">
      <c r="A467" s="5">
        <f t="shared" si="14"/>
        <v>453</v>
      </c>
      <c r="B467" s="10">
        <f>'CLIENT ENROLLMENT DISCHARGE '!B467</f>
        <v>0</v>
      </c>
      <c r="C467" s="4">
        <f>'CLIENT ENROLLMENT DISCHARGE '!C467</f>
        <v>0</v>
      </c>
      <c r="D467" s="51"/>
      <c r="E467" s="52"/>
      <c r="F467" s="51"/>
      <c r="G467" s="52"/>
      <c r="H467" s="62"/>
      <c r="I467" s="115"/>
      <c r="J467" s="9"/>
      <c r="K467" s="70"/>
      <c r="L467" s="52"/>
      <c r="M467" s="8"/>
      <c r="N467" s="7"/>
      <c r="O467" s="218">
        <f t="shared" si="15"/>
        <v>0</v>
      </c>
      <c r="P467" s="218">
        <f>O467+OCT!P467</f>
        <v>0</v>
      </c>
      <c r="Q467" s="59"/>
      <c r="R467" s="51"/>
      <c r="S467" s="65"/>
      <c r="T467" s="64"/>
      <c r="U467" s="67"/>
      <c r="V467" s="74"/>
      <c r="W467" s="6">
        <f>'CLIENT ENROLLMENT DISCHARGE '!M467</f>
        <v>0</v>
      </c>
      <c r="X467" s="76"/>
      <c r="Y467" s="180"/>
    </row>
    <row r="468" spans="1:25" ht="50.1" customHeight="1" x14ac:dyDescent="0.25">
      <c r="A468" s="5">
        <f t="shared" si="14"/>
        <v>454</v>
      </c>
      <c r="B468" s="10">
        <f>'CLIENT ENROLLMENT DISCHARGE '!B468</f>
        <v>0</v>
      </c>
      <c r="C468" s="4">
        <f>'CLIENT ENROLLMENT DISCHARGE '!C468</f>
        <v>0</v>
      </c>
      <c r="D468" s="52"/>
      <c r="E468" s="53"/>
      <c r="F468" s="52"/>
      <c r="G468" s="53"/>
      <c r="H468" s="63"/>
      <c r="I468" s="116"/>
      <c r="J468" s="3"/>
      <c r="K468" s="71"/>
      <c r="L468" s="53"/>
      <c r="M468" s="2"/>
      <c r="N468" s="1"/>
      <c r="O468" s="218">
        <f t="shared" si="15"/>
        <v>0</v>
      </c>
      <c r="P468" s="218">
        <f>O468+OCT!P468</f>
        <v>0</v>
      </c>
      <c r="Q468" s="60"/>
      <c r="R468" s="52"/>
      <c r="S468" s="66"/>
      <c r="T468" s="65"/>
      <c r="U468" s="68"/>
      <c r="V468" s="59"/>
      <c r="W468" s="6">
        <f>'CLIENT ENROLLMENT DISCHARGE '!M468</f>
        <v>0</v>
      </c>
      <c r="X468" s="76"/>
      <c r="Y468" s="180"/>
    </row>
    <row r="469" spans="1:25" ht="50.1" customHeight="1" x14ac:dyDescent="0.25">
      <c r="A469" s="5">
        <f t="shared" si="14"/>
        <v>455</v>
      </c>
      <c r="B469" s="10">
        <f>'CLIENT ENROLLMENT DISCHARGE '!B469</f>
        <v>0</v>
      </c>
      <c r="C469" s="4">
        <f>'CLIENT ENROLLMENT DISCHARGE '!C469</f>
        <v>0</v>
      </c>
      <c r="D469" s="51"/>
      <c r="E469" s="52"/>
      <c r="F469" s="51"/>
      <c r="G469" s="52"/>
      <c r="H469" s="62"/>
      <c r="I469" s="115"/>
      <c r="J469" s="9"/>
      <c r="K469" s="70"/>
      <c r="L469" s="52"/>
      <c r="M469" s="8"/>
      <c r="N469" s="7"/>
      <c r="O469" s="218">
        <f t="shared" si="15"/>
        <v>0</v>
      </c>
      <c r="P469" s="218">
        <f>O469+OCT!P469</f>
        <v>0</v>
      </c>
      <c r="Q469" s="59"/>
      <c r="R469" s="51"/>
      <c r="S469" s="65"/>
      <c r="T469" s="64"/>
      <c r="U469" s="67"/>
      <c r="V469" s="74"/>
      <c r="W469" s="6">
        <f>'CLIENT ENROLLMENT DISCHARGE '!M469</f>
        <v>0</v>
      </c>
      <c r="X469" s="76"/>
      <c r="Y469" s="180"/>
    </row>
    <row r="470" spans="1:25" ht="50.1" customHeight="1" x14ac:dyDescent="0.25">
      <c r="A470" s="5">
        <f t="shared" si="14"/>
        <v>456</v>
      </c>
      <c r="B470" s="10">
        <f>'CLIENT ENROLLMENT DISCHARGE '!B470</f>
        <v>0</v>
      </c>
      <c r="C470" s="4">
        <f>'CLIENT ENROLLMENT DISCHARGE '!C470</f>
        <v>0</v>
      </c>
      <c r="D470" s="52"/>
      <c r="E470" s="53"/>
      <c r="F470" s="52"/>
      <c r="G470" s="53"/>
      <c r="H470" s="63"/>
      <c r="I470" s="116"/>
      <c r="J470" s="3"/>
      <c r="K470" s="71"/>
      <c r="L470" s="53"/>
      <c r="M470" s="2"/>
      <c r="N470" s="1"/>
      <c r="O470" s="218">
        <f t="shared" si="15"/>
        <v>0</v>
      </c>
      <c r="P470" s="218">
        <f>O470+OCT!P470</f>
        <v>0</v>
      </c>
      <c r="Q470" s="60"/>
      <c r="R470" s="52"/>
      <c r="S470" s="66"/>
      <c r="T470" s="65"/>
      <c r="U470" s="68"/>
      <c r="V470" s="75"/>
      <c r="W470" s="6">
        <f>'CLIENT ENROLLMENT DISCHARGE '!M470</f>
        <v>0</v>
      </c>
      <c r="X470" s="76"/>
      <c r="Y470" s="180"/>
    </row>
    <row r="471" spans="1:25" ht="50.1" customHeight="1" x14ac:dyDescent="0.25">
      <c r="A471" s="5">
        <f t="shared" si="14"/>
        <v>457</v>
      </c>
      <c r="B471" s="10">
        <f>'CLIENT ENROLLMENT DISCHARGE '!B471</f>
        <v>0</v>
      </c>
      <c r="C471" s="4">
        <f>'CLIENT ENROLLMENT DISCHARGE '!C471</f>
        <v>0</v>
      </c>
      <c r="D471" s="51"/>
      <c r="E471" s="52"/>
      <c r="F471" s="51"/>
      <c r="G471" s="52"/>
      <c r="H471" s="62"/>
      <c r="I471" s="115"/>
      <c r="J471" s="9"/>
      <c r="K471" s="70"/>
      <c r="L471" s="52"/>
      <c r="M471" s="8"/>
      <c r="N471" s="7"/>
      <c r="O471" s="218">
        <f t="shared" si="15"/>
        <v>0</v>
      </c>
      <c r="P471" s="218">
        <f>O471+OCT!P471</f>
        <v>0</v>
      </c>
      <c r="Q471" s="59"/>
      <c r="R471" s="51"/>
      <c r="S471" s="65"/>
      <c r="T471" s="64"/>
      <c r="U471" s="67"/>
      <c r="V471" s="74"/>
      <c r="W471" s="6">
        <f>'CLIENT ENROLLMENT DISCHARGE '!M471</f>
        <v>0</v>
      </c>
      <c r="X471" s="76"/>
      <c r="Y471" s="180"/>
    </row>
    <row r="472" spans="1:25" ht="50.1" customHeight="1" x14ac:dyDescent="0.25">
      <c r="A472" s="5">
        <f t="shared" si="14"/>
        <v>458</v>
      </c>
      <c r="B472" s="10">
        <f>'CLIENT ENROLLMENT DISCHARGE '!B472</f>
        <v>0</v>
      </c>
      <c r="C472" s="4">
        <f>'CLIENT ENROLLMENT DISCHARGE '!C472</f>
        <v>0</v>
      </c>
      <c r="D472" s="52"/>
      <c r="E472" s="53"/>
      <c r="F472" s="52"/>
      <c r="G472" s="53"/>
      <c r="H472" s="63"/>
      <c r="I472" s="116"/>
      <c r="J472" s="3"/>
      <c r="K472" s="71"/>
      <c r="L472" s="53"/>
      <c r="M472" s="2"/>
      <c r="N472" s="1"/>
      <c r="O472" s="218">
        <f t="shared" si="15"/>
        <v>0</v>
      </c>
      <c r="P472" s="218">
        <f>O472+OCT!P472</f>
        <v>0</v>
      </c>
      <c r="Q472" s="60"/>
      <c r="R472" s="52"/>
      <c r="S472" s="66"/>
      <c r="T472" s="65"/>
      <c r="U472" s="68"/>
      <c r="V472" s="59"/>
      <c r="W472" s="6">
        <f>'CLIENT ENROLLMENT DISCHARGE '!M472</f>
        <v>0</v>
      </c>
      <c r="X472" s="76"/>
      <c r="Y472" s="180"/>
    </row>
    <row r="473" spans="1:25" ht="50.1" customHeight="1" x14ac:dyDescent="0.25">
      <c r="A473" s="5">
        <f t="shared" si="14"/>
        <v>459</v>
      </c>
      <c r="B473" s="10">
        <f>'CLIENT ENROLLMENT DISCHARGE '!B473</f>
        <v>0</v>
      </c>
      <c r="C473" s="4">
        <f>'CLIENT ENROLLMENT DISCHARGE '!C473</f>
        <v>0</v>
      </c>
      <c r="D473" s="51"/>
      <c r="E473" s="52"/>
      <c r="F473" s="51"/>
      <c r="G473" s="52"/>
      <c r="H473" s="62"/>
      <c r="I473" s="115"/>
      <c r="J473" s="9"/>
      <c r="K473" s="70"/>
      <c r="L473" s="52"/>
      <c r="M473" s="8"/>
      <c r="N473" s="7"/>
      <c r="O473" s="218">
        <f t="shared" si="15"/>
        <v>0</v>
      </c>
      <c r="P473" s="218">
        <f>O473+OCT!P473</f>
        <v>0</v>
      </c>
      <c r="Q473" s="59"/>
      <c r="R473" s="51"/>
      <c r="S473" s="65"/>
      <c r="T473" s="64"/>
      <c r="U473" s="67"/>
      <c r="V473" s="74"/>
      <c r="W473" s="6">
        <f>'CLIENT ENROLLMENT DISCHARGE '!M473</f>
        <v>0</v>
      </c>
      <c r="X473" s="76"/>
      <c r="Y473" s="180"/>
    </row>
    <row r="474" spans="1:25" ht="50.1" customHeight="1" x14ac:dyDescent="0.25">
      <c r="A474" s="5">
        <f t="shared" si="14"/>
        <v>460</v>
      </c>
      <c r="B474" s="10">
        <f>'CLIENT ENROLLMENT DISCHARGE '!B474</f>
        <v>0</v>
      </c>
      <c r="C474" s="4">
        <f>'CLIENT ENROLLMENT DISCHARGE '!C474</f>
        <v>0</v>
      </c>
      <c r="D474" s="52"/>
      <c r="E474" s="53"/>
      <c r="F474" s="52"/>
      <c r="G474" s="53"/>
      <c r="H474" s="63"/>
      <c r="I474" s="116"/>
      <c r="J474" s="3"/>
      <c r="K474" s="71"/>
      <c r="L474" s="53"/>
      <c r="M474" s="2"/>
      <c r="N474" s="1"/>
      <c r="O474" s="218">
        <f t="shared" si="15"/>
        <v>0</v>
      </c>
      <c r="P474" s="218">
        <f>O474+OCT!P474</f>
        <v>0</v>
      </c>
      <c r="Q474" s="60"/>
      <c r="R474" s="52"/>
      <c r="S474" s="66"/>
      <c r="T474" s="65"/>
      <c r="U474" s="68"/>
      <c r="V474" s="59"/>
      <c r="W474" s="6">
        <f>'CLIENT ENROLLMENT DISCHARGE '!M474</f>
        <v>0</v>
      </c>
      <c r="X474" s="76"/>
      <c r="Y474" s="180"/>
    </row>
    <row r="475" spans="1:25" ht="50.1" customHeight="1" x14ac:dyDescent="0.25">
      <c r="A475" s="5">
        <f t="shared" si="14"/>
        <v>461</v>
      </c>
      <c r="B475" s="10">
        <f>'CLIENT ENROLLMENT DISCHARGE '!B475</f>
        <v>0</v>
      </c>
      <c r="C475" s="4">
        <f>'CLIENT ENROLLMENT DISCHARGE '!C475</f>
        <v>0</v>
      </c>
      <c r="D475" s="51"/>
      <c r="E475" s="52"/>
      <c r="F475" s="51"/>
      <c r="G475" s="52"/>
      <c r="H475" s="62"/>
      <c r="I475" s="115"/>
      <c r="J475" s="9"/>
      <c r="K475" s="70"/>
      <c r="L475" s="52"/>
      <c r="M475" s="8"/>
      <c r="N475" s="7"/>
      <c r="O475" s="218">
        <f t="shared" si="15"/>
        <v>0</v>
      </c>
      <c r="P475" s="218">
        <f>O475+OCT!P475</f>
        <v>0</v>
      </c>
      <c r="Q475" s="59"/>
      <c r="R475" s="51"/>
      <c r="S475" s="65"/>
      <c r="T475" s="64"/>
      <c r="U475" s="67"/>
      <c r="V475" s="74"/>
      <c r="W475" s="6">
        <f>'CLIENT ENROLLMENT DISCHARGE '!M475</f>
        <v>0</v>
      </c>
      <c r="X475" s="76"/>
      <c r="Y475" s="180"/>
    </row>
    <row r="476" spans="1:25" ht="50.1" customHeight="1" x14ac:dyDescent="0.25">
      <c r="A476" s="5">
        <f t="shared" si="14"/>
        <v>462</v>
      </c>
      <c r="B476" s="10">
        <f>'CLIENT ENROLLMENT DISCHARGE '!B476</f>
        <v>0</v>
      </c>
      <c r="C476" s="4">
        <f>'CLIENT ENROLLMENT DISCHARGE '!C476</f>
        <v>0</v>
      </c>
      <c r="D476" s="52"/>
      <c r="E476" s="53"/>
      <c r="F476" s="52"/>
      <c r="G476" s="53"/>
      <c r="H476" s="63"/>
      <c r="I476" s="116"/>
      <c r="J476" s="3"/>
      <c r="K476" s="71"/>
      <c r="L476" s="53"/>
      <c r="M476" s="2"/>
      <c r="N476" s="1"/>
      <c r="O476" s="218">
        <f t="shared" si="15"/>
        <v>0</v>
      </c>
      <c r="P476" s="218">
        <f>O476+OCT!P476</f>
        <v>0</v>
      </c>
      <c r="Q476" s="60"/>
      <c r="R476" s="52"/>
      <c r="S476" s="66"/>
      <c r="T476" s="65"/>
      <c r="U476" s="68"/>
      <c r="V476" s="59"/>
      <c r="W476" s="6">
        <f>'CLIENT ENROLLMENT DISCHARGE '!M476</f>
        <v>0</v>
      </c>
      <c r="X476" s="76"/>
      <c r="Y476" s="180"/>
    </row>
    <row r="477" spans="1:25" ht="50.1" customHeight="1" x14ac:dyDescent="0.25">
      <c r="A477" s="5">
        <f t="shared" si="14"/>
        <v>463</v>
      </c>
      <c r="B477" s="10">
        <f>'CLIENT ENROLLMENT DISCHARGE '!B477</f>
        <v>0</v>
      </c>
      <c r="C477" s="4">
        <f>'CLIENT ENROLLMENT DISCHARGE '!C477</f>
        <v>0</v>
      </c>
      <c r="D477" s="51"/>
      <c r="E477" s="52"/>
      <c r="F477" s="51"/>
      <c r="G477" s="52"/>
      <c r="H477" s="62"/>
      <c r="I477" s="115"/>
      <c r="J477" s="9"/>
      <c r="K477" s="70"/>
      <c r="L477" s="52"/>
      <c r="M477" s="8"/>
      <c r="N477" s="7"/>
      <c r="O477" s="218">
        <f t="shared" si="15"/>
        <v>0</v>
      </c>
      <c r="P477" s="218">
        <f>O477+OCT!P477</f>
        <v>0</v>
      </c>
      <c r="Q477" s="59"/>
      <c r="R477" s="51"/>
      <c r="S477" s="65"/>
      <c r="T477" s="64"/>
      <c r="U477" s="67"/>
      <c r="V477" s="74"/>
      <c r="W477" s="6">
        <f>'CLIENT ENROLLMENT DISCHARGE '!M477</f>
        <v>0</v>
      </c>
      <c r="X477" s="76"/>
      <c r="Y477" s="180"/>
    </row>
    <row r="478" spans="1:25" ht="50.1" customHeight="1" x14ac:dyDescent="0.25">
      <c r="A478" s="5">
        <f t="shared" si="14"/>
        <v>464</v>
      </c>
      <c r="B478" s="10">
        <f>'CLIENT ENROLLMENT DISCHARGE '!B478</f>
        <v>0</v>
      </c>
      <c r="C478" s="4">
        <f>'CLIENT ENROLLMENT DISCHARGE '!C478</f>
        <v>0</v>
      </c>
      <c r="D478" s="52"/>
      <c r="E478" s="53"/>
      <c r="F478" s="52"/>
      <c r="G478" s="53"/>
      <c r="H478" s="63"/>
      <c r="I478" s="116"/>
      <c r="J478" s="3"/>
      <c r="K478" s="71"/>
      <c r="L478" s="53"/>
      <c r="M478" s="2"/>
      <c r="N478" s="1"/>
      <c r="O478" s="218">
        <f t="shared" si="15"/>
        <v>0</v>
      </c>
      <c r="P478" s="218">
        <f>O478+OCT!P478</f>
        <v>0</v>
      </c>
      <c r="Q478" s="60"/>
      <c r="R478" s="52"/>
      <c r="S478" s="66"/>
      <c r="T478" s="65"/>
      <c r="U478" s="68"/>
      <c r="V478" s="59"/>
      <c r="W478" s="6">
        <f>'CLIENT ENROLLMENT DISCHARGE '!M478</f>
        <v>0</v>
      </c>
      <c r="X478" s="76"/>
      <c r="Y478" s="180"/>
    </row>
    <row r="479" spans="1:25" ht="50.1" customHeight="1" x14ac:dyDescent="0.25">
      <c r="A479" s="5">
        <f t="shared" si="14"/>
        <v>465</v>
      </c>
      <c r="B479" s="10">
        <f>'CLIENT ENROLLMENT DISCHARGE '!B479</f>
        <v>0</v>
      </c>
      <c r="C479" s="4">
        <f>'CLIENT ENROLLMENT DISCHARGE '!C479</f>
        <v>0</v>
      </c>
      <c r="D479" s="51"/>
      <c r="E479" s="52"/>
      <c r="F479" s="51"/>
      <c r="G479" s="52"/>
      <c r="H479" s="62"/>
      <c r="I479" s="115"/>
      <c r="J479" s="9"/>
      <c r="K479" s="70"/>
      <c r="L479" s="52"/>
      <c r="M479" s="8"/>
      <c r="N479" s="7"/>
      <c r="O479" s="218">
        <f t="shared" si="15"/>
        <v>0</v>
      </c>
      <c r="P479" s="218">
        <f>O479+OCT!P479</f>
        <v>0</v>
      </c>
      <c r="Q479" s="59"/>
      <c r="R479" s="51"/>
      <c r="S479" s="65"/>
      <c r="T479" s="64"/>
      <c r="U479" s="67"/>
      <c r="V479" s="74"/>
      <c r="W479" s="6">
        <f>'CLIENT ENROLLMENT DISCHARGE '!M479</f>
        <v>0</v>
      </c>
      <c r="X479" s="76"/>
      <c r="Y479" s="180"/>
    </row>
    <row r="480" spans="1:25" ht="50.1" customHeight="1" x14ac:dyDescent="0.25">
      <c r="A480" s="5">
        <f t="shared" si="14"/>
        <v>466</v>
      </c>
      <c r="B480" s="10">
        <f>'CLIENT ENROLLMENT DISCHARGE '!B480</f>
        <v>0</v>
      </c>
      <c r="C480" s="4">
        <f>'CLIENT ENROLLMENT DISCHARGE '!C480</f>
        <v>0</v>
      </c>
      <c r="D480" s="52"/>
      <c r="E480" s="53"/>
      <c r="F480" s="52"/>
      <c r="G480" s="53"/>
      <c r="H480" s="63"/>
      <c r="I480" s="116"/>
      <c r="J480" s="3"/>
      <c r="K480" s="71"/>
      <c r="L480" s="53"/>
      <c r="M480" s="2"/>
      <c r="N480" s="1"/>
      <c r="O480" s="218">
        <f t="shared" si="15"/>
        <v>0</v>
      </c>
      <c r="P480" s="218">
        <f>O480+OCT!P480</f>
        <v>0</v>
      </c>
      <c r="Q480" s="60"/>
      <c r="R480" s="52"/>
      <c r="S480" s="66"/>
      <c r="T480" s="65"/>
      <c r="U480" s="68"/>
      <c r="V480" s="75"/>
      <c r="W480" s="6">
        <f>'CLIENT ENROLLMENT DISCHARGE '!M480</f>
        <v>0</v>
      </c>
      <c r="X480" s="76"/>
      <c r="Y480" s="180"/>
    </row>
    <row r="481" spans="1:25" ht="50.1" customHeight="1" x14ac:dyDescent="0.25">
      <c r="A481" s="5">
        <f t="shared" si="14"/>
        <v>467</v>
      </c>
      <c r="B481" s="10">
        <f>'CLIENT ENROLLMENT DISCHARGE '!B481</f>
        <v>0</v>
      </c>
      <c r="C481" s="4">
        <f>'CLIENT ENROLLMENT DISCHARGE '!C481</f>
        <v>0</v>
      </c>
      <c r="D481" s="51"/>
      <c r="E481" s="52"/>
      <c r="F481" s="51"/>
      <c r="G481" s="52"/>
      <c r="H481" s="62"/>
      <c r="I481" s="115"/>
      <c r="J481" s="9"/>
      <c r="K481" s="70"/>
      <c r="L481" s="52"/>
      <c r="M481" s="8"/>
      <c r="N481" s="7"/>
      <c r="O481" s="218">
        <f t="shared" si="15"/>
        <v>0</v>
      </c>
      <c r="P481" s="218">
        <f>O481+OCT!P481</f>
        <v>0</v>
      </c>
      <c r="Q481" s="59"/>
      <c r="R481" s="51"/>
      <c r="S481" s="65"/>
      <c r="T481" s="64"/>
      <c r="U481" s="67"/>
      <c r="V481" s="74"/>
      <c r="W481" s="6">
        <f>'CLIENT ENROLLMENT DISCHARGE '!M481</f>
        <v>0</v>
      </c>
      <c r="X481" s="76"/>
      <c r="Y481" s="180"/>
    </row>
    <row r="482" spans="1:25" ht="50.1" customHeight="1" x14ac:dyDescent="0.25">
      <c r="A482" s="5">
        <f t="shared" si="14"/>
        <v>468</v>
      </c>
      <c r="B482" s="10">
        <f>'CLIENT ENROLLMENT DISCHARGE '!B482</f>
        <v>0</v>
      </c>
      <c r="C482" s="4">
        <f>'CLIENT ENROLLMENT DISCHARGE '!C482</f>
        <v>0</v>
      </c>
      <c r="D482" s="52"/>
      <c r="E482" s="53"/>
      <c r="F482" s="52"/>
      <c r="G482" s="53"/>
      <c r="H482" s="63"/>
      <c r="I482" s="116"/>
      <c r="J482" s="3"/>
      <c r="K482" s="71"/>
      <c r="L482" s="53"/>
      <c r="M482" s="2"/>
      <c r="N482" s="1"/>
      <c r="O482" s="218">
        <f t="shared" si="15"/>
        <v>0</v>
      </c>
      <c r="P482" s="218">
        <f>O482+OCT!P482</f>
        <v>0</v>
      </c>
      <c r="Q482" s="60"/>
      <c r="R482" s="52"/>
      <c r="S482" s="66"/>
      <c r="T482" s="65"/>
      <c r="U482" s="68"/>
      <c r="V482" s="59"/>
      <c r="W482" s="6">
        <f>'CLIENT ENROLLMENT DISCHARGE '!M482</f>
        <v>0</v>
      </c>
      <c r="X482" s="76"/>
      <c r="Y482" s="180"/>
    </row>
    <row r="483" spans="1:25" ht="50.1" customHeight="1" x14ac:dyDescent="0.25">
      <c r="A483" s="5">
        <f t="shared" si="14"/>
        <v>469</v>
      </c>
      <c r="B483" s="10">
        <f>'CLIENT ENROLLMENT DISCHARGE '!B483</f>
        <v>0</v>
      </c>
      <c r="C483" s="4">
        <f>'CLIENT ENROLLMENT DISCHARGE '!C483</f>
        <v>0</v>
      </c>
      <c r="D483" s="51"/>
      <c r="E483" s="52"/>
      <c r="F483" s="51"/>
      <c r="G483" s="52"/>
      <c r="H483" s="62"/>
      <c r="I483" s="115"/>
      <c r="J483" s="9"/>
      <c r="K483" s="70"/>
      <c r="L483" s="52"/>
      <c r="M483" s="8"/>
      <c r="N483" s="7"/>
      <c r="O483" s="218">
        <f t="shared" si="15"/>
        <v>0</v>
      </c>
      <c r="P483" s="218">
        <f>O483+OCT!P483</f>
        <v>0</v>
      </c>
      <c r="Q483" s="59"/>
      <c r="R483" s="51"/>
      <c r="S483" s="65"/>
      <c r="T483" s="64"/>
      <c r="U483" s="67"/>
      <c r="V483" s="74"/>
      <c r="W483" s="6">
        <f>'CLIENT ENROLLMENT DISCHARGE '!M483</f>
        <v>0</v>
      </c>
      <c r="X483" s="76"/>
      <c r="Y483" s="180"/>
    </row>
    <row r="484" spans="1:25" ht="50.1" customHeight="1" x14ac:dyDescent="0.25">
      <c r="A484" s="5">
        <f t="shared" si="14"/>
        <v>470</v>
      </c>
      <c r="B484" s="10">
        <f>'CLIENT ENROLLMENT DISCHARGE '!B484</f>
        <v>0</v>
      </c>
      <c r="C484" s="4">
        <f>'CLIENT ENROLLMENT DISCHARGE '!C484</f>
        <v>0</v>
      </c>
      <c r="D484" s="52"/>
      <c r="E484" s="53"/>
      <c r="F484" s="52"/>
      <c r="G484" s="53"/>
      <c r="H484" s="63"/>
      <c r="I484" s="116"/>
      <c r="J484" s="3"/>
      <c r="K484" s="71"/>
      <c r="L484" s="53"/>
      <c r="M484" s="2"/>
      <c r="N484" s="1"/>
      <c r="O484" s="218">
        <f t="shared" si="15"/>
        <v>0</v>
      </c>
      <c r="P484" s="218">
        <f>O484+OCT!P484</f>
        <v>0</v>
      </c>
      <c r="Q484" s="60"/>
      <c r="R484" s="52"/>
      <c r="S484" s="66"/>
      <c r="T484" s="65"/>
      <c r="U484" s="68"/>
      <c r="V484" s="59"/>
      <c r="W484" s="6">
        <f>'CLIENT ENROLLMENT DISCHARGE '!M484</f>
        <v>0</v>
      </c>
      <c r="X484" s="76"/>
      <c r="Y484" s="180"/>
    </row>
    <row r="485" spans="1:25" ht="50.1" customHeight="1" x14ac:dyDescent="0.25">
      <c r="A485" s="5">
        <f t="shared" si="14"/>
        <v>471</v>
      </c>
      <c r="B485" s="10">
        <f>'CLIENT ENROLLMENT DISCHARGE '!B485</f>
        <v>0</v>
      </c>
      <c r="C485" s="4">
        <f>'CLIENT ENROLLMENT DISCHARGE '!C485</f>
        <v>0</v>
      </c>
      <c r="D485" s="51"/>
      <c r="E485" s="52"/>
      <c r="F485" s="51"/>
      <c r="G485" s="52"/>
      <c r="H485" s="62"/>
      <c r="I485" s="115"/>
      <c r="J485" s="9"/>
      <c r="K485" s="70"/>
      <c r="L485" s="52"/>
      <c r="M485" s="8"/>
      <c r="N485" s="7"/>
      <c r="O485" s="218">
        <f t="shared" si="15"/>
        <v>0</v>
      </c>
      <c r="P485" s="218">
        <f>O485+OCT!P485</f>
        <v>0</v>
      </c>
      <c r="Q485" s="59"/>
      <c r="R485" s="51"/>
      <c r="S485" s="65"/>
      <c r="T485" s="64"/>
      <c r="U485" s="67"/>
      <c r="V485" s="74"/>
      <c r="W485" s="6">
        <f>'CLIENT ENROLLMENT DISCHARGE '!M485</f>
        <v>0</v>
      </c>
      <c r="X485" s="76"/>
      <c r="Y485" s="180"/>
    </row>
    <row r="486" spans="1:25" ht="50.1" customHeight="1" x14ac:dyDescent="0.25">
      <c r="A486" s="5">
        <f t="shared" si="14"/>
        <v>472</v>
      </c>
      <c r="B486" s="10">
        <f>'CLIENT ENROLLMENT DISCHARGE '!B486</f>
        <v>0</v>
      </c>
      <c r="C486" s="4">
        <f>'CLIENT ENROLLMENT DISCHARGE '!C486</f>
        <v>0</v>
      </c>
      <c r="D486" s="52"/>
      <c r="E486" s="53"/>
      <c r="F486" s="52"/>
      <c r="G486" s="53"/>
      <c r="H486" s="63"/>
      <c r="I486" s="116"/>
      <c r="J486" s="3"/>
      <c r="K486" s="71"/>
      <c r="L486" s="53"/>
      <c r="M486" s="2"/>
      <c r="N486" s="1"/>
      <c r="O486" s="218">
        <f t="shared" si="15"/>
        <v>0</v>
      </c>
      <c r="P486" s="218">
        <f>O486+OCT!P486</f>
        <v>0</v>
      </c>
      <c r="Q486" s="60"/>
      <c r="R486" s="52"/>
      <c r="S486" s="66"/>
      <c r="T486" s="65"/>
      <c r="U486" s="68"/>
      <c r="V486" s="59"/>
      <c r="W486" s="6">
        <f>'CLIENT ENROLLMENT DISCHARGE '!M486</f>
        <v>0</v>
      </c>
      <c r="X486" s="76"/>
      <c r="Y486" s="180"/>
    </row>
    <row r="487" spans="1:25" ht="50.1" customHeight="1" x14ac:dyDescent="0.25">
      <c r="A487" s="5">
        <f t="shared" si="14"/>
        <v>473</v>
      </c>
      <c r="B487" s="10">
        <f>'CLIENT ENROLLMENT DISCHARGE '!B487</f>
        <v>0</v>
      </c>
      <c r="C487" s="4">
        <f>'CLIENT ENROLLMENT DISCHARGE '!C487</f>
        <v>0</v>
      </c>
      <c r="D487" s="51"/>
      <c r="E487" s="52"/>
      <c r="F487" s="51"/>
      <c r="G487" s="52"/>
      <c r="H487" s="62"/>
      <c r="I487" s="115"/>
      <c r="J487" s="9"/>
      <c r="K487" s="70"/>
      <c r="L487" s="52"/>
      <c r="M487" s="8"/>
      <c r="N487" s="7"/>
      <c r="O487" s="218">
        <f t="shared" si="15"/>
        <v>0</v>
      </c>
      <c r="P487" s="218">
        <f>O487+OCT!P487</f>
        <v>0</v>
      </c>
      <c r="Q487" s="59"/>
      <c r="R487" s="51"/>
      <c r="S487" s="65"/>
      <c r="T487" s="64"/>
      <c r="U487" s="67"/>
      <c r="V487" s="74"/>
      <c r="W487" s="6">
        <f>'CLIENT ENROLLMENT DISCHARGE '!M487</f>
        <v>0</v>
      </c>
      <c r="X487" s="76"/>
      <c r="Y487" s="180"/>
    </row>
    <row r="488" spans="1:25" ht="50.1" customHeight="1" x14ac:dyDescent="0.25">
      <c r="A488" s="5">
        <f t="shared" si="14"/>
        <v>474</v>
      </c>
      <c r="B488" s="10">
        <f>'CLIENT ENROLLMENT DISCHARGE '!B488</f>
        <v>0</v>
      </c>
      <c r="C488" s="4">
        <f>'CLIENT ENROLLMENT DISCHARGE '!C488</f>
        <v>0</v>
      </c>
      <c r="D488" s="52"/>
      <c r="E488" s="53"/>
      <c r="F488" s="52"/>
      <c r="G488" s="53"/>
      <c r="H488" s="63"/>
      <c r="I488" s="116"/>
      <c r="J488" s="3"/>
      <c r="K488" s="71"/>
      <c r="L488" s="53"/>
      <c r="M488" s="2"/>
      <c r="N488" s="1"/>
      <c r="O488" s="218">
        <f t="shared" si="15"/>
        <v>0</v>
      </c>
      <c r="P488" s="218">
        <f>O488+OCT!P488</f>
        <v>0</v>
      </c>
      <c r="Q488" s="60"/>
      <c r="R488" s="52"/>
      <c r="S488" s="66"/>
      <c r="T488" s="65"/>
      <c r="U488" s="68"/>
      <c r="V488" s="59"/>
      <c r="W488" s="6">
        <f>'CLIENT ENROLLMENT DISCHARGE '!M488</f>
        <v>0</v>
      </c>
      <c r="X488" s="76"/>
      <c r="Y488" s="180"/>
    </row>
    <row r="489" spans="1:25" ht="50.1" customHeight="1" x14ac:dyDescent="0.25">
      <c r="A489" s="5">
        <f t="shared" si="14"/>
        <v>475</v>
      </c>
      <c r="B489" s="10">
        <f>'CLIENT ENROLLMENT DISCHARGE '!B489</f>
        <v>0</v>
      </c>
      <c r="C489" s="4">
        <f>'CLIENT ENROLLMENT DISCHARGE '!C489</f>
        <v>0</v>
      </c>
      <c r="D489" s="51"/>
      <c r="E489" s="52"/>
      <c r="F489" s="51"/>
      <c r="G489" s="52"/>
      <c r="H489" s="62"/>
      <c r="I489" s="115"/>
      <c r="J489" s="9"/>
      <c r="K489" s="70"/>
      <c r="L489" s="52"/>
      <c r="M489" s="8"/>
      <c r="N489" s="7"/>
      <c r="O489" s="218">
        <f t="shared" si="15"/>
        <v>0</v>
      </c>
      <c r="P489" s="218">
        <f>O489+OCT!P489</f>
        <v>0</v>
      </c>
      <c r="Q489" s="59"/>
      <c r="R489" s="51"/>
      <c r="S489" s="65"/>
      <c r="T489" s="64"/>
      <c r="U489" s="67"/>
      <c r="V489" s="74"/>
      <c r="W489" s="6">
        <f>'CLIENT ENROLLMENT DISCHARGE '!M489</f>
        <v>0</v>
      </c>
      <c r="X489" s="76"/>
      <c r="Y489" s="180"/>
    </row>
    <row r="490" spans="1:25" ht="50.1" customHeight="1" x14ac:dyDescent="0.25">
      <c r="A490" s="5">
        <f t="shared" si="14"/>
        <v>476</v>
      </c>
      <c r="B490" s="10">
        <f>'CLIENT ENROLLMENT DISCHARGE '!B490</f>
        <v>0</v>
      </c>
      <c r="C490" s="4">
        <f>'CLIENT ENROLLMENT DISCHARGE '!C490</f>
        <v>0</v>
      </c>
      <c r="D490" s="52"/>
      <c r="E490" s="53"/>
      <c r="F490" s="52"/>
      <c r="G490" s="53"/>
      <c r="H490" s="63"/>
      <c r="I490" s="116"/>
      <c r="J490" s="3"/>
      <c r="K490" s="71"/>
      <c r="L490" s="53"/>
      <c r="M490" s="2"/>
      <c r="N490" s="1"/>
      <c r="O490" s="218">
        <f t="shared" si="15"/>
        <v>0</v>
      </c>
      <c r="P490" s="218">
        <f>O490+OCT!P490</f>
        <v>0</v>
      </c>
      <c r="Q490" s="60"/>
      <c r="R490" s="52"/>
      <c r="S490" s="66"/>
      <c r="T490" s="65"/>
      <c r="U490" s="68"/>
      <c r="V490" s="75"/>
      <c r="W490" s="6">
        <f>'CLIENT ENROLLMENT DISCHARGE '!M490</f>
        <v>0</v>
      </c>
      <c r="X490" s="76"/>
      <c r="Y490" s="180"/>
    </row>
    <row r="491" spans="1:25" ht="50.1" customHeight="1" x14ac:dyDescent="0.25">
      <c r="A491" s="5">
        <f t="shared" si="14"/>
        <v>477</v>
      </c>
      <c r="B491" s="10">
        <f>'CLIENT ENROLLMENT DISCHARGE '!B491</f>
        <v>0</v>
      </c>
      <c r="C491" s="4">
        <f>'CLIENT ENROLLMENT DISCHARGE '!C491</f>
        <v>0</v>
      </c>
      <c r="D491" s="51"/>
      <c r="E491" s="52"/>
      <c r="F491" s="51"/>
      <c r="G491" s="52"/>
      <c r="H491" s="62"/>
      <c r="I491" s="115"/>
      <c r="J491" s="9"/>
      <c r="K491" s="70"/>
      <c r="L491" s="52"/>
      <c r="M491" s="8"/>
      <c r="N491" s="7"/>
      <c r="O491" s="218">
        <f t="shared" si="15"/>
        <v>0</v>
      </c>
      <c r="P491" s="218">
        <f>O491+OCT!P491</f>
        <v>0</v>
      </c>
      <c r="Q491" s="59"/>
      <c r="R491" s="51"/>
      <c r="S491" s="65"/>
      <c r="T491" s="64"/>
      <c r="U491" s="67"/>
      <c r="V491" s="74"/>
      <c r="W491" s="6">
        <f>'CLIENT ENROLLMENT DISCHARGE '!M491</f>
        <v>0</v>
      </c>
      <c r="X491" s="76"/>
      <c r="Y491" s="180"/>
    </row>
    <row r="492" spans="1:25" ht="50.1" customHeight="1" x14ac:dyDescent="0.25">
      <c r="A492" s="5">
        <f t="shared" si="14"/>
        <v>478</v>
      </c>
      <c r="B492" s="10">
        <f>'CLIENT ENROLLMENT DISCHARGE '!B492</f>
        <v>0</v>
      </c>
      <c r="C492" s="4">
        <f>'CLIENT ENROLLMENT DISCHARGE '!C492</f>
        <v>0</v>
      </c>
      <c r="D492" s="52"/>
      <c r="E492" s="53"/>
      <c r="F492" s="52"/>
      <c r="G492" s="53"/>
      <c r="H492" s="63"/>
      <c r="I492" s="116"/>
      <c r="J492" s="3"/>
      <c r="K492" s="71"/>
      <c r="L492" s="53"/>
      <c r="M492" s="2"/>
      <c r="N492" s="1"/>
      <c r="O492" s="218">
        <f t="shared" si="15"/>
        <v>0</v>
      </c>
      <c r="P492" s="218">
        <f>O492+OCT!P492</f>
        <v>0</v>
      </c>
      <c r="Q492" s="60"/>
      <c r="R492" s="52"/>
      <c r="S492" s="66"/>
      <c r="T492" s="65"/>
      <c r="U492" s="68"/>
      <c r="V492" s="59"/>
      <c r="W492" s="6">
        <f>'CLIENT ENROLLMENT DISCHARGE '!M492</f>
        <v>0</v>
      </c>
      <c r="X492" s="76"/>
      <c r="Y492" s="180"/>
    </row>
    <row r="493" spans="1:25" ht="50.1" customHeight="1" x14ac:dyDescent="0.25">
      <c r="A493" s="5">
        <f t="shared" si="14"/>
        <v>479</v>
      </c>
      <c r="B493" s="10">
        <f>'CLIENT ENROLLMENT DISCHARGE '!B493</f>
        <v>0</v>
      </c>
      <c r="C493" s="4">
        <f>'CLIENT ENROLLMENT DISCHARGE '!C493</f>
        <v>0</v>
      </c>
      <c r="D493" s="51"/>
      <c r="E493" s="52"/>
      <c r="F493" s="51"/>
      <c r="G493" s="52"/>
      <c r="H493" s="62"/>
      <c r="I493" s="115"/>
      <c r="J493" s="9"/>
      <c r="K493" s="70"/>
      <c r="L493" s="52"/>
      <c r="M493" s="8"/>
      <c r="N493" s="7"/>
      <c r="O493" s="218">
        <f t="shared" si="15"/>
        <v>0</v>
      </c>
      <c r="P493" s="218">
        <f>O493+OCT!P493</f>
        <v>0</v>
      </c>
      <c r="Q493" s="59"/>
      <c r="R493" s="51"/>
      <c r="S493" s="65"/>
      <c r="T493" s="64"/>
      <c r="U493" s="67"/>
      <c r="V493" s="74"/>
      <c r="W493" s="6">
        <f>'CLIENT ENROLLMENT DISCHARGE '!M493</f>
        <v>0</v>
      </c>
      <c r="X493" s="76"/>
      <c r="Y493" s="180"/>
    </row>
    <row r="494" spans="1:25" ht="50.1" customHeight="1" x14ac:dyDescent="0.25">
      <c r="A494" s="5">
        <f t="shared" si="14"/>
        <v>480</v>
      </c>
      <c r="B494" s="10">
        <f>'CLIENT ENROLLMENT DISCHARGE '!B494</f>
        <v>0</v>
      </c>
      <c r="C494" s="4">
        <f>'CLIENT ENROLLMENT DISCHARGE '!C494</f>
        <v>0</v>
      </c>
      <c r="D494" s="52"/>
      <c r="E494" s="53"/>
      <c r="F494" s="52"/>
      <c r="G494" s="53"/>
      <c r="H494" s="63"/>
      <c r="I494" s="116"/>
      <c r="J494" s="3"/>
      <c r="K494" s="71"/>
      <c r="L494" s="53"/>
      <c r="M494" s="2"/>
      <c r="N494" s="1"/>
      <c r="O494" s="218">
        <f t="shared" si="15"/>
        <v>0</v>
      </c>
      <c r="P494" s="218">
        <f>O494+OCT!P494</f>
        <v>0</v>
      </c>
      <c r="Q494" s="60"/>
      <c r="R494" s="52"/>
      <c r="S494" s="66"/>
      <c r="T494" s="65"/>
      <c r="U494" s="68"/>
      <c r="V494" s="59"/>
      <c r="W494" s="6">
        <f>'CLIENT ENROLLMENT DISCHARGE '!M494</f>
        <v>0</v>
      </c>
      <c r="X494" s="76"/>
      <c r="Y494" s="180"/>
    </row>
    <row r="495" spans="1:25" ht="50.1" customHeight="1" x14ac:dyDescent="0.25">
      <c r="A495" s="5">
        <f t="shared" si="14"/>
        <v>481</v>
      </c>
      <c r="B495" s="10">
        <f>'CLIENT ENROLLMENT DISCHARGE '!B495</f>
        <v>0</v>
      </c>
      <c r="C495" s="4">
        <f>'CLIENT ENROLLMENT DISCHARGE '!C495</f>
        <v>0</v>
      </c>
      <c r="D495" s="51"/>
      <c r="E495" s="52"/>
      <c r="F495" s="51"/>
      <c r="G495" s="52"/>
      <c r="H495" s="62"/>
      <c r="I495" s="115"/>
      <c r="J495" s="9"/>
      <c r="K495" s="70"/>
      <c r="L495" s="52"/>
      <c r="M495" s="8"/>
      <c r="N495" s="7"/>
      <c r="O495" s="218">
        <f t="shared" si="15"/>
        <v>0</v>
      </c>
      <c r="P495" s="218">
        <f>O495+OCT!P495</f>
        <v>0</v>
      </c>
      <c r="Q495" s="59"/>
      <c r="R495" s="51"/>
      <c r="S495" s="65"/>
      <c r="T495" s="64"/>
      <c r="U495" s="67"/>
      <c r="V495" s="74"/>
      <c r="W495" s="6">
        <f>'CLIENT ENROLLMENT DISCHARGE '!M495</f>
        <v>0</v>
      </c>
      <c r="X495" s="76"/>
      <c r="Y495" s="180"/>
    </row>
    <row r="496" spans="1:25" ht="50.1" customHeight="1" x14ac:dyDescent="0.25">
      <c r="A496" s="5">
        <f t="shared" si="14"/>
        <v>482</v>
      </c>
      <c r="B496" s="10">
        <f>'CLIENT ENROLLMENT DISCHARGE '!B496</f>
        <v>0</v>
      </c>
      <c r="C496" s="4">
        <f>'CLIENT ENROLLMENT DISCHARGE '!C496</f>
        <v>0</v>
      </c>
      <c r="D496" s="52"/>
      <c r="E496" s="53"/>
      <c r="F496" s="52"/>
      <c r="G496" s="53"/>
      <c r="H496" s="63"/>
      <c r="I496" s="116"/>
      <c r="J496" s="3"/>
      <c r="K496" s="71"/>
      <c r="L496" s="53"/>
      <c r="M496" s="2"/>
      <c r="N496" s="1"/>
      <c r="O496" s="218">
        <f t="shared" si="15"/>
        <v>0</v>
      </c>
      <c r="P496" s="218">
        <f>O496+OCT!P496</f>
        <v>0</v>
      </c>
      <c r="Q496" s="60"/>
      <c r="R496" s="52"/>
      <c r="S496" s="66"/>
      <c r="T496" s="65"/>
      <c r="U496" s="68"/>
      <c r="V496" s="59"/>
      <c r="W496" s="6">
        <f>'CLIENT ENROLLMENT DISCHARGE '!M496</f>
        <v>0</v>
      </c>
      <c r="X496" s="76"/>
      <c r="Y496" s="180"/>
    </row>
    <row r="497" spans="1:25" ht="50.1" customHeight="1" x14ac:dyDescent="0.25">
      <c r="A497" s="5">
        <f t="shared" si="14"/>
        <v>483</v>
      </c>
      <c r="B497" s="10">
        <f>'CLIENT ENROLLMENT DISCHARGE '!B497</f>
        <v>0</v>
      </c>
      <c r="C497" s="4">
        <f>'CLIENT ENROLLMENT DISCHARGE '!C497</f>
        <v>0</v>
      </c>
      <c r="D497" s="51"/>
      <c r="E497" s="52"/>
      <c r="F497" s="51"/>
      <c r="G497" s="52"/>
      <c r="H497" s="62"/>
      <c r="I497" s="115"/>
      <c r="J497" s="9"/>
      <c r="K497" s="70"/>
      <c r="L497" s="52"/>
      <c r="M497" s="8"/>
      <c r="N497" s="7"/>
      <c r="O497" s="218">
        <f t="shared" si="15"/>
        <v>0</v>
      </c>
      <c r="P497" s="218">
        <f>O497+OCT!P497</f>
        <v>0</v>
      </c>
      <c r="Q497" s="59"/>
      <c r="R497" s="51"/>
      <c r="S497" s="65"/>
      <c r="T497" s="64"/>
      <c r="U497" s="67"/>
      <c r="V497" s="74"/>
      <c r="W497" s="6">
        <f>'CLIENT ENROLLMENT DISCHARGE '!M497</f>
        <v>0</v>
      </c>
      <c r="X497" s="76"/>
      <c r="Y497" s="180"/>
    </row>
    <row r="498" spans="1:25" ht="50.1" customHeight="1" x14ac:dyDescent="0.25">
      <c r="A498" s="5">
        <f t="shared" si="14"/>
        <v>484</v>
      </c>
      <c r="B498" s="10">
        <f>'CLIENT ENROLLMENT DISCHARGE '!B498</f>
        <v>0</v>
      </c>
      <c r="C498" s="4">
        <f>'CLIENT ENROLLMENT DISCHARGE '!C498</f>
        <v>0</v>
      </c>
      <c r="D498" s="52"/>
      <c r="E498" s="53"/>
      <c r="F498" s="52"/>
      <c r="G498" s="53"/>
      <c r="H498" s="63"/>
      <c r="I498" s="116"/>
      <c r="J498" s="3"/>
      <c r="K498" s="71"/>
      <c r="L498" s="53"/>
      <c r="M498" s="2"/>
      <c r="N498" s="1"/>
      <c r="O498" s="218">
        <f t="shared" si="15"/>
        <v>0</v>
      </c>
      <c r="P498" s="218">
        <f>O498+OCT!P498</f>
        <v>0</v>
      </c>
      <c r="Q498" s="60"/>
      <c r="R498" s="52"/>
      <c r="S498" s="66"/>
      <c r="T498" s="65"/>
      <c r="U498" s="68"/>
      <c r="V498" s="59"/>
      <c r="W498" s="6">
        <f>'CLIENT ENROLLMENT DISCHARGE '!M498</f>
        <v>0</v>
      </c>
      <c r="X498" s="76"/>
      <c r="Y498" s="180"/>
    </row>
    <row r="499" spans="1:25" ht="50.1" customHeight="1" x14ac:dyDescent="0.25">
      <c r="A499" s="5">
        <f t="shared" si="14"/>
        <v>485</v>
      </c>
      <c r="B499" s="10">
        <f>'CLIENT ENROLLMENT DISCHARGE '!B499</f>
        <v>0</v>
      </c>
      <c r="C499" s="4">
        <f>'CLIENT ENROLLMENT DISCHARGE '!C499</f>
        <v>0</v>
      </c>
      <c r="D499" s="51"/>
      <c r="E499" s="52"/>
      <c r="F499" s="51"/>
      <c r="G499" s="52"/>
      <c r="H499" s="62"/>
      <c r="I499" s="115"/>
      <c r="J499" s="9"/>
      <c r="K499" s="70"/>
      <c r="L499" s="52"/>
      <c r="M499" s="8"/>
      <c r="N499" s="7"/>
      <c r="O499" s="218">
        <f t="shared" si="15"/>
        <v>0</v>
      </c>
      <c r="P499" s="218">
        <f>O499+OCT!P499</f>
        <v>0</v>
      </c>
      <c r="Q499" s="59"/>
      <c r="R499" s="51"/>
      <c r="S499" s="65"/>
      <c r="T499" s="64"/>
      <c r="U499" s="67"/>
      <c r="V499" s="74"/>
      <c r="W499" s="6">
        <f>'CLIENT ENROLLMENT DISCHARGE '!M499</f>
        <v>0</v>
      </c>
      <c r="X499" s="76"/>
      <c r="Y499" s="180"/>
    </row>
    <row r="500" spans="1:25" ht="50.1" customHeight="1" x14ac:dyDescent="0.25">
      <c r="A500" s="5">
        <f t="shared" si="14"/>
        <v>486</v>
      </c>
      <c r="B500" s="10">
        <f>'CLIENT ENROLLMENT DISCHARGE '!B500</f>
        <v>0</v>
      </c>
      <c r="C500" s="4">
        <f>'CLIENT ENROLLMENT DISCHARGE '!C500</f>
        <v>0</v>
      </c>
      <c r="D500" s="52"/>
      <c r="E500" s="53"/>
      <c r="F500" s="52"/>
      <c r="G500" s="53"/>
      <c r="H500" s="63"/>
      <c r="I500" s="116"/>
      <c r="J500" s="3"/>
      <c r="K500" s="71"/>
      <c r="L500" s="53"/>
      <c r="M500" s="2"/>
      <c r="N500" s="1"/>
      <c r="O500" s="218">
        <f t="shared" si="15"/>
        <v>0</v>
      </c>
      <c r="P500" s="218">
        <f>O500+OCT!P500</f>
        <v>0</v>
      </c>
      <c r="Q500" s="60"/>
      <c r="R500" s="52"/>
      <c r="S500" s="66"/>
      <c r="T500" s="65"/>
      <c r="U500" s="68"/>
      <c r="V500" s="75"/>
      <c r="W500" s="6">
        <f>'CLIENT ENROLLMENT DISCHARGE '!M500</f>
        <v>0</v>
      </c>
      <c r="X500" s="76"/>
      <c r="Y500" s="180"/>
    </row>
    <row r="501" spans="1:25" ht="50.1" customHeight="1" x14ac:dyDescent="0.25">
      <c r="A501" s="5">
        <f t="shared" si="14"/>
        <v>487</v>
      </c>
      <c r="B501" s="10">
        <f>'CLIENT ENROLLMENT DISCHARGE '!B501</f>
        <v>0</v>
      </c>
      <c r="C501" s="4">
        <f>'CLIENT ENROLLMENT DISCHARGE '!C501</f>
        <v>0</v>
      </c>
      <c r="D501" s="51"/>
      <c r="E501" s="52"/>
      <c r="F501" s="51"/>
      <c r="G501" s="52"/>
      <c r="H501" s="62"/>
      <c r="I501" s="115"/>
      <c r="J501" s="9"/>
      <c r="K501" s="70"/>
      <c r="L501" s="52"/>
      <c r="M501" s="8"/>
      <c r="N501" s="7"/>
      <c r="O501" s="218">
        <f t="shared" si="15"/>
        <v>0</v>
      </c>
      <c r="P501" s="218">
        <f>O501+OCT!P501</f>
        <v>0</v>
      </c>
      <c r="Q501" s="59"/>
      <c r="R501" s="51"/>
      <c r="S501" s="65"/>
      <c r="T501" s="64"/>
      <c r="U501" s="67"/>
      <c r="V501" s="74"/>
      <c r="W501" s="6">
        <f>'CLIENT ENROLLMENT DISCHARGE '!M501</f>
        <v>0</v>
      </c>
      <c r="X501" s="76"/>
      <c r="Y501" s="180"/>
    </row>
    <row r="502" spans="1:25" ht="50.1" customHeight="1" x14ac:dyDescent="0.25">
      <c r="A502" s="5">
        <f t="shared" si="14"/>
        <v>488</v>
      </c>
      <c r="B502" s="10">
        <f>'CLIENT ENROLLMENT DISCHARGE '!B502</f>
        <v>0</v>
      </c>
      <c r="C502" s="4">
        <f>'CLIENT ENROLLMENT DISCHARGE '!C502</f>
        <v>0</v>
      </c>
      <c r="D502" s="52"/>
      <c r="E502" s="53"/>
      <c r="F502" s="52"/>
      <c r="G502" s="53"/>
      <c r="H502" s="63"/>
      <c r="I502" s="116"/>
      <c r="J502" s="3"/>
      <c r="K502" s="71"/>
      <c r="L502" s="53"/>
      <c r="M502" s="2"/>
      <c r="N502" s="1"/>
      <c r="O502" s="218">
        <f t="shared" si="15"/>
        <v>0</v>
      </c>
      <c r="P502" s="218">
        <f>O502+OCT!P502</f>
        <v>0</v>
      </c>
      <c r="Q502" s="60"/>
      <c r="R502" s="52"/>
      <c r="S502" s="66"/>
      <c r="T502" s="65"/>
      <c r="U502" s="68"/>
      <c r="V502" s="59"/>
      <c r="W502" s="6">
        <f>'CLIENT ENROLLMENT DISCHARGE '!M502</f>
        <v>0</v>
      </c>
      <c r="X502" s="76"/>
      <c r="Y502" s="180"/>
    </row>
    <row r="503" spans="1:25" ht="50.1" customHeight="1" x14ac:dyDescent="0.25">
      <c r="A503" s="5">
        <f t="shared" si="14"/>
        <v>489</v>
      </c>
      <c r="B503" s="10">
        <f>'CLIENT ENROLLMENT DISCHARGE '!B503</f>
        <v>0</v>
      </c>
      <c r="C503" s="4">
        <f>'CLIENT ENROLLMENT DISCHARGE '!C503</f>
        <v>0</v>
      </c>
      <c r="D503" s="51"/>
      <c r="E503" s="52"/>
      <c r="F503" s="51"/>
      <c r="G503" s="52"/>
      <c r="H503" s="62"/>
      <c r="I503" s="115"/>
      <c r="J503" s="9"/>
      <c r="K503" s="70"/>
      <c r="L503" s="52"/>
      <c r="M503" s="8"/>
      <c r="N503" s="7"/>
      <c r="O503" s="218">
        <f t="shared" si="15"/>
        <v>0</v>
      </c>
      <c r="P503" s="218">
        <f>O503+OCT!P503</f>
        <v>0</v>
      </c>
      <c r="Q503" s="59"/>
      <c r="R503" s="51"/>
      <c r="S503" s="65"/>
      <c r="T503" s="64"/>
      <c r="U503" s="67"/>
      <c r="V503" s="74"/>
      <c r="W503" s="6">
        <f>'CLIENT ENROLLMENT DISCHARGE '!M503</f>
        <v>0</v>
      </c>
      <c r="X503" s="76"/>
      <c r="Y503" s="180"/>
    </row>
    <row r="504" spans="1:25" ht="50.1" customHeight="1" x14ac:dyDescent="0.25">
      <c r="A504" s="5">
        <f t="shared" si="14"/>
        <v>490</v>
      </c>
      <c r="B504" s="10">
        <f>'CLIENT ENROLLMENT DISCHARGE '!B504</f>
        <v>0</v>
      </c>
      <c r="C504" s="4">
        <f>'CLIENT ENROLLMENT DISCHARGE '!C504</f>
        <v>0</v>
      </c>
      <c r="D504" s="52"/>
      <c r="E504" s="53"/>
      <c r="F504" s="52"/>
      <c r="G504" s="53"/>
      <c r="H504" s="63"/>
      <c r="I504" s="116"/>
      <c r="J504" s="3"/>
      <c r="K504" s="71"/>
      <c r="L504" s="53"/>
      <c r="M504" s="2"/>
      <c r="N504" s="1"/>
      <c r="O504" s="218">
        <f t="shared" si="15"/>
        <v>0</v>
      </c>
      <c r="P504" s="218">
        <f>O504+OCT!P504</f>
        <v>0</v>
      </c>
      <c r="Q504" s="60"/>
      <c r="R504" s="52"/>
      <c r="S504" s="66"/>
      <c r="T504" s="65"/>
      <c r="U504" s="68"/>
      <c r="V504" s="59"/>
      <c r="W504" s="6">
        <f>'CLIENT ENROLLMENT DISCHARGE '!M504</f>
        <v>0</v>
      </c>
      <c r="X504" s="76"/>
      <c r="Y504" s="180"/>
    </row>
    <row r="505" spans="1:25" ht="50.1" customHeight="1" x14ac:dyDescent="0.25">
      <c r="A505" s="5">
        <f t="shared" si="14"/>
        <v>491</v>
      </c>
      <c r="B505" s="10">
        <f>'CLIENT ENROLLMENT DISCHARGE '!B505</f>
        <v>0</v>
      </c>
      <c r="C505" s="4">
        <f>'CLIENT ENROLLMENT DISCHARGE '!C505</f>
        <v>0</v>
      </c>
      <c r="D505" s="51"/>
      <c r="E505" s="52"/>
      <c r="F505" s="51"/>
      <c r="G505" s="52"/>
      <c r="H505" s="62"/>
      <c r="I505" s="115"/>
      <c r="J505" s="9"/>
      <c r="K505" s="70"/>
      <c r="L505" s="52"/>
      <c r="M505" s="8"/>
      <c r="N505" s="7"/>
      <c r="O505" s="218">
        <f t="shared" si="15"/>
        <v>0</v>
      </c>
      <c r="P505" s="218">
        <f>O505+OCT!P505</f>
        <v>0</v>
      </c>
      <c r="Q505" s="59"/>
      <c r="R505" s="51"/>
      <c r="S505" s="65"/>
      <c r="T505" s="64"/>
      <c r="U505" s="67"/>
      <c r="V505" s="74"/>
      <c r="W505" s="6">
        <f>'CLIENT ENROLLMENT DISCHARGE '!M505</f>
        <v>0</v>
      </c>
      <c r="X505" s="76"/>
      <c r="Y505" s="180"/>
    </row>
    <row r="506" spans="1:25" ht="50.1" customHeight="1" x14ac:dyDescent="0.25">
      <c r="A506" s="5">
        <f t="shared" si="14"/>
        <v>492</v>
      </c>
      <c r="B506" s="10">
        <f>'CLIENT ENROLLMENT DISCHARGE '!B506</f>
        <v>0</v>
      </c>
      <c r="C506" s="4">
        <f>'CLIENT ENROLLMENT DISCHARGE '!C506</f>
        <v>0</v>
      </c>
      <c r="D506" s="52"/>
      <c r="E506" s="53"/>
      <c r="F506" s="52"/>
      <c r="G506" s="53"/>
      <c r="H506" s="63"/>
      <c r="I506" s="116"/>
      <c r="J506" s="3"/>
      <c r="K506" s="71"/>
      <c r="L506" s="53"/>
      <c r="M506" s="2"/>
      <c r="N506" s="1"/>
      <c r="O506" s="218">
        <f t="shared" si="15"/>
        <v>0</v>
      </c>
      <c r="P506" s="218">
        <f>O506+OCT!P506</f>
        <v>0</v>
      </c>
      <c r="Q506" s="60"/>
      <c r="R506" s="52"/>
      <c r="S506" s="66"/>
      <c r="T506" s="65"/>
      <c r="U506" s="68"/>
      <c r="V506" s="59"/>
      <c r="W506" s="6">
        <f>'CLIENT ENROLLMENT DISCHARGE '!M506</f>
        <v>0</v>
      </c>
      <c r="X506" s="76"/>
      <c r="Y506" s="180"/>
    </row>
    <row r="507" spans="1:25" ht="50.1" customHeight="1" x14ac:dyDescent="0.25">
      <c r="A507" s="5">
        <f t="shared" si="14"/>
        <v>493</v>
      </c>
      <c r="B507" s="10">
        <f>'CLIENT ENROLLMENT DISCHARGE '!B507</f>
        <v>0</v>
      </c>
      <c r="C507" s="4">
        <f>'CLIENT ENROLLMENT DISCHARGE '!C507</f>
        <v>0</v>
      </c>
      <c r="D507" s="51"/>
      <c r="E507" s="52"/>
      <c r="F507" s="51"/>
      <c r="G507" s="52"/>
      <c r="H507" s="62"/>
      <c r="I507" s="115"/>
      <c r="J507" s="9"/>
      <c r="K507" s="70"/>
      <c r="L507" s="52"/>
      <c r="M507" s="8"/>
      <c r="N507" s="7"/>
      <c r="O507" s="218">
        <f t="shared" si="15"/>
        <v>0</v>
      </c>
      <c r="P507" s="218">
        <f>O507+OCT!P507</f>
        <v>0</v>
      </c>
      <c r="Q507" s="59"/>
      <c r="R507" s="51"/>
      <c r="S507" s="65"/>
      <c r="T507" s="64"/>
      <c r="U507" s="67"/>
      <c r="V507" s="74"/>
      <c r="W507" s="6">
        <f>'CLIENT ENROLLMENT DISCHARGE '!M507</f>
        <v>0</v>
      </c>
      <c r="X507" s="76"/>
      <c r="Y507" s="180"/>
    </row>
    <row r="508" spans="1:25" ht="50.1" customHeight="1" x14ac:dyDescent="0.25">
      <c r="A508" s="5">
        <f t="shared" si="14"/>
        <v>494</v>
      </c>
      <c r="B508" s="10">
        <f>'CLIENT ENROLLMENT DISCHARGE '!B508</f>
        <v>0</v>
      </c>
      <c r="C508" s="4">
        <f>'CLIENT ENROLLMENT DISCHARGE '!C508</f>
        <v>0</v>
      </c>
      <c r="D508" s="52"/>
      <c r="E508" s="53"/>
      <c r="F508" s="52"/>
      <c r="G508" s="53"/>
      <c r="H508" s="63"/>
      <c r="I508" s="116"/>
      <c r="J508" s="3"/>
      <c r="K508" s="71"/>
      <c r="L508" s="53"/>
      <c r="M508" s="2"/>
      <c r="N508" s="1"/>
      <c r="O508" s="218">
        <f t="shared" si="15"/>
        <v>0</v>
      </c>
      <c r="P508" s="218">
        <f>O508+OCT!P508</f>
        <v>0</v>
      </c>
      <c r="Q508" s="60"/>
      <c r="R508" s="52"/>
      <c r="S508" s="66"/>
      <c r="T508" s="65"/>
      <c r="U508" s="68"/>
      <c r="V508" s="59"/>
      <c r="W508" s="6">
        <f>'CLIENT ENROLLMENT DISCHARGE '!M508</f>
        <v>0</v>
      </c>
      <c r="X508" s="76"/>
      <c r="Y508" s="180"/>
    </row>
    <row r="509" spans="1:25" ht="50.1" customHeight="1" x14ac:dyDescent="0.25">
      <c r="A509" s="5">
        <f t="shared" si="14"/>
        <v>495</v>
      </c>
      <c r="B509" s="10">
        <f>'CLIENT ENROLLMENT DISCHARGE '!B509</f>
        <v>0</v>
      </c>
      <c r="C509" s="4">
        <f>'CLIENT ENROLLMENT DISCHARGE '!C509</f>
        <v>0</v>
      </c>
      <c r="D509" s="51"/>
      <c r="E509" s="52"/>
      <c r="F509" s="51"/>
      <c r="G509" s="52"/>
      <c r="H509" s="62"/>
      <c r="I509" s="115"/>
      <c r="J509" s="9"/>
      <c r="K509" s="70"/>
      <c r="L509" s="52"/>
      <c r="M509" s="8"/>
      <c r="N509" s="7"/>
      <c r="O509" s="218">
        <f t="shared" si="15"/>
        <v>0</v>
      </c>
      <c r="P509" s="218">
        <f>O509+OCT!P509</f>
        <v>0</v>
      </c>
      <c r="Q509" s="59"/>
      <c r="R509" s="51"/>
      <c r="S509" s="65"/>
      <c r="T509" s="64"/>
      <c r="U509" s="67"/>
      <c r="V509" s="74"/>
      <c r="W509" s="6">
        <f>'CLIENT ENROLLMENT DISCHARGE '!M509</f>
        <v>0</v>
      </c>
      <c r="X509" s="76"/>
      <c r="Y509" s="180"/>
    </row>
    <row r="510" spans="1:25" ht="50.1" customHeight="1" x14ac:dyDescent="0.25">
      <c r="A510" s="5">
        <f t="shared" si="14"/>
        <v>496</v>
      </c>
      <c r="B510" s="10">
        <f>'CLIENT ENROLLMENT DISCHARGE '!B510</f>
        <v>0</v>
      </c>
      <c r="C510" s="4">
        <f>'CLIENT ENROLLMENT DISCHARGE '!C510</f>
        <v>0</v>
      </c>
      <c r="D510" s="52"/>
      <c r="E510" s="53"/>
      <c r="F510" s="52"/>
      <c r="G510" s="53"/>
      <c r="H510" s="63"/>
      <c r="I510" s="116"/>
      <c r="J510" s="3"/>
      <c r="K510" s="71"/>
      <c r="L510" s="53"/>
      <c r="M510" s="2"/>
      <c r="N510" s="1"/>
      <c r="O510" s="218">
        <f t="shared" si="15"/>
        <v>0</v>
      </c>
      <c r="P510" s="218">
        <f>O510+OCT!P510</f>
        <v>0</v>
      </c>
      <c r="Q510" s="60"/>
      <c r="R510" s="52"/>
      <c r="S510" s="66"/>
      <c r="T510" s="65"/>
      <c r="U510" s="68"/>
      <c r="V510" s="75"/>
      <c r="W510" s="6">
        <f>'CLIENT ENROLLMENT DISCHARGE '!M510</f>
        <v>0</v>
      </c>
      <c r="X510" s="76"/>
      <c r="Y510" s="180"/>
    </row>
    <row r="511" spans="1:25" ht="50.1" customHeight="1" x14ac:dyDescent="0.25">
      <c r="A511" s="5">
        <f t="shared" si="14"/>
        <v>497</v>
      </c>
      <c r="B511" s="10">
        <f>'CLIENT ENROLLMENT DISCHARGE '!B511</f>
        <v>0</v>
      </c>
      <c r="C511" s="4">
        <f>'CLIENT ENROLLMENT DISCHARGE '!C511</f>
        <v>0</v>
      </c>
      <c r="D511" s="51"/>
      <c r="E511" s="52"/>
      <c r="F511" s="51"/>
      <c r="G511" s="52"/>
      <c r="H511" s="62"/>
      <c r="I511" s="115"/>
      <c r="J511" s="9"/>
      <c r="K511" s="70"/>
      <c r="L511" s="52"/>
      <c r="M511" s="8"/>
      <c r="N511" s="7"/>
      <c r="O511" s="218">
        <f t="shared" si="15"/>
        <v>0</v>
      </c>
      <c r="P511" s="218">
        <f>O511+OCT!P511</f>
        <v>0</v>
      </c>
      <c r="Q511" s="59"/>
      <c r="R511" s="51"/>
      <c r="S511" s="65"/>
      <c r="T511" s="64"/>
      <c r="U511" s="67"/>
      <c r="V511" s="74"/>
      <c r="W511" s="6">
        <f>'CLIENT ENROLLMENT DISCHARGE '!M511</f>
        <v>0</v>
      </c>
      <c r="X511" s="76"/>
      <c r="Y511" s="180"/>
    </row>
    <row r="512" spans="1:25" ht="50.1" customHeight="1" x14ac:dyDescent="0.25">
      <c r="A512" s="5">
        <f t="shared" si="14"/>
        <v>498</v>
      </c>
      <c r="B512" s="10">
        <f>'CLIENT ENROLLMENT DISCHARGE '!B512</f>
        <v>0</v>
      </c>
      <c r="C512" s="4">
        <f>'CLIENT ENROLLMENT DISCHARGE '!C512</f>
        <v>0</v>
      </c>
      <c r="D512" s="52"/>
      <c r="E512" s="53"/>
      <c r="F512" s="52"/>
      <c r="G512" s="53"/>
      <c r="H512" s="63"/>
      <c r="I512" s="116"/>
      <c r="J512" s="3"/>
      <c r="K512" s="71"/>
      <c r="L512" s="53"/>
      <c r="M512" s="2"/>
      <c r="N512" s="1"/>
      <c r="O512" s="218">
        <f t="shared" si="15"/>
        <v>0</v>
      </c>
      <c r="P512" s="218">
        <f>O512+OCT!P512</f>
        <v>0</v>
      </c>
      <c r="Q512" s="60"/>
      <c r="R512" s="52"/>
      <c r="S512" s="66"/>
      <c r="T512" s="65"/>
      <c r="U512" s="68"/>
      <c r="V512" s="59"/>
      <c r="W512" s="6">
        <f>'CLIENT ENROLLMENT DISCHARGE '!M512</f>
        <v>0</v>
      </c>
      <c r="X512" s="76"/>
      <c r="Y512" s="180"/>
    </row>
    <row r="513" spans="1:25" ht="50.1" customHeight="1" x14ac:dyDescent="0.25">
      <c r="A513" s="5">
        <f t="shared" si="14"/>
        <v>499</v>
      </c>
      <c r="B513" s="10">
        <f>'CLIENT ENROLLMENT DISCHARGE '!B513</f>
        <v>0</v>
      </c>
      <c r="C513" s="4">
        <f>'CLIENT ENROLLMENT DISCHARGE '!C513</f>
        <v>0</v>
      </c>
      <c r="D513" s="51"/>
      <c r="E513" s="52"/>
      <c r="F513" s="51"/>
      <c r="G513" s="52"/>
      <c r="H513" s="62"/>
      <c r="I513" s="115"/>
      <c r="J513" s="9"/>
      <c r="K513" s="70"/>
      <c r="L513" s="52"/>
      <c r="M513" s="8"/>
      <c r="N513" s="7"/>
      <c r="O513" s="218">
        <f t="shared" si="15"/>
        <v>0</v>
      </c>
      <c r="P513" s="218">
        <f>O513+OCT!P513</f>
        <v>0</v>
      </c>
      <c r="Q513" s="59"/>
      <c r="R513" s="51"/>
      <c r="S513" s="65"/>
      <c r="T513" s="64"/>
      <c r="U513" s="67"/>
      <c r="V513" s="74"/>
      <c r="W513" s="6">
        <f>'CLIENT ENROLLMENT DISCHARGE '!M513</f>
        <v>0</v>
      </c>
      <c r="X513" s="76"/>
      <c r="Y513" s="180"/>
    </row>
    <row r="514" spans="1:25" ht="50.1" customHeight="1" x14ac:dyDescent="0.25">
      <c r="A514" s="5">
        <f t="shared" si="14"/>
        <v>500</v>
      </c>
      <c r="B514" s="10">
        <f>'CLIENT ENROLLMENT DISCHARGE '!B514</f>
        <v>0</v>
      </c>
      <c r="C514" s="4">
        <f>'CLIENT ENROLLMENT DISCHARGE '!C514</f>
        <v>0</v>
      </c>
      <c r="D514" s="52"/>
      <c r="E514" s="53"/>
      <c r="F514" s="52"/>
      <c r="G514" s="53"/>
      <c r="H514" s="63"/>
      <c r="I514" s="116"/>
      <c r="J514" s="3"/>
      <c r="K514" s="71"/>
      <c r="L514" s="53"/>
      <c r="M514" s="2"/>
      <c r="N514" s="1"/>
      <c r="O514" s="218">
        <f t="shared" si="15"/>
        <v>0</v>
      </c>
      <c r="P514" s="218">
        <f>O514+OCT!P514</f>
        <v>0</v>
      </c>
      <c r="Q514" s="60"/>
      <c r="R514" s="52"/>
      <c r="S514" s="66"/>
      <c r="T514" s="65"/>
      <c r="U514" s="68"/>
      <c r="V514" s="59"/>
      <c r="W514" s="6">
        <f>'CLIENT ENROLLMENT DISCHARGE '!M514</f>
        <v>0</v>
      </c>
      <c r="X514" s="76"/>
      <c r="Y514" s="180"/>
    </row>
  </sheetData>
  <sheetProtection algorithmName="SHA-512" hashValue="0ZJAn9+BD+n6rjFLKgF3nTrcP+pE0lGSfPzY7QpasnovcJz/Ovrn+iGjwS1guLkrWtVVS2c5ZYqj5f8tWMMy7A==" saltValue="CAnlnJpiAup9gjdQYvHxWQ==" spinCount="100000" sheet="1" objects="1" scenarios="1"/>
  <mergeCells count="44">
    <mergeCell ref="A2:S2"/>
    <mergeCell ref="A3:S3"/>
    <mergeCell ref="A4:S4"/>
    <mergeCell ref="A5:D5"/>
    <mergeCell ref="E5:I5"/>
    <mergeCell ref="J5:M5"/>
    <mergeCell ref="N5:S5"/>
    <mergeCell ref="A10:S10"/>
    <mergeCell ref="A6:D6"/>
    <mergeCell ref="E6:I6"/>
    <mergeCell ref="J6:M6"/>
    <mergeCell ref="N6:S6"/>
    <mergeCell ref="A7:D8"/>
    <mergeCell ref="E7:I8"/>
    <mergeCell ref="J7:M7"/>
    <mergeCell ref="N7:S7"/>
    <mergeCell ref="J8:M8"/>
    <mergeCell ref="N8:S8"/>
    <mergeCell ref="A9:D9"/>
    <mergeCell ref="E9:F9"/>
    <mergeCell ref="G9:I9"/>
    <mergeCell ref="J9:M9"/>
    <mergeCell ref="N9:S9"/>
    <mergeCell ref="A11:C11"/>
    <mergeCell ref="D11:S11"/>
    <mergeCell ref="A13:A14"/>
    <mergeCell ref="B13:B14"/>
    <mergeCell ref="C13:C14"/>
    <mergeCell ref="D13:D14"/>
    <mergeCell ref="G13:G14"/>
    <mergeCell ref="H13:H14"/>
    <mergeCell ref="I13:I14"/>
    <mergeCell ref="L13:L14"/>
    <mergeCell ref="V13:V14"/>
    <mergeCell ref="W13:W14"/>
    <mergeCell ref="Y13:Y14"/>
    <mergeCell ref="M13:N13"/>
    <mergeCell ref="Q13:Q14"/>
    <mergeCell ref="R13:R14"/>
    <mergeCell ref="S13:S14"/>
    <mergeCell ref="T13:T14"/>
    <mergeCell ref="U13:U14"/>
    <mergeCell ref="O13:O14"/>
    <mergeCell ref="P13:P14"/>
  </mergeCells>
  <conditionalFormatting sqref="A15:W15 D16:N29 Q16:V29 A16:C514 O16:P514 W16:W514 D45:N514 Q45:V514">
    <cfRule type="expression" dxfId="29" priority="5">
      <formula>$W15="YES"</formula>
    </cfRule>
  </conditionalFormatting>
  <conditionalFormatting sqref="A15:X15 D16:N29 Q16:V29 A16:C514 O16:P514 W16:X514 D45:N514 Q45:V514">
    <cfRule type="expression" dxfId="28" priority="4">
      <formula>$X15="YES"</formula>
    </cfRule>
  </conditionalFormatting>
  <conditionalFormatting sqref="D30:N44 Q30:U44">
    <cfRule type="expression" dxfId="27" priority="2">
      <formula>$U30="YES"</formula>
    </cfRule>
  </conditionalFormatting>
  <conditionalFormatting sqref="D30:N44 Q30:V44">
    <cfRule type="expression" dxfId="26" priority="1">
      <formula>$V30="YES"</formula>
    </cfRule>
  </conditionalFormatting>
  <conditionalFormatting sqref="H15:I514">
    <cfRule type="expression" dxfId="25" priority="3">
      <formula>$H15="Other (Specify) "</formula>
    </cfRule>
  </conditionalFormatting>
  <dataValidations count="4">
    <dataValidation allowBlank="1" showInputMessage="1" showErrorMessage="1" prompt="Use MM/DD/YYYY format.  Leave blank until date is needed. " sqref="J15:J514" xr:uid="{00000000-0002-0000-0800-000000000000}"/>
    <dataValidation allowBlank="1" showInputMessage="1" showErrorMessage="1" prompt="will auto populate" sqref="U30:U44 W15:W514" xr:uid="{00000000-0002-0000-0800-000001000000}"/>
    <dataValidation allowBlank="1" showInputMessage="1" showErrorMessage="1" prompt="Note Section for Column H" sqref="I15:I514" xr:uid="{00000000-0002-0000-0800-000002000000}"/>
    <dataValidation allowBlank="1" showInputMessage="1" showErrorMessage="1" prompt="auto populates" sqref="B15:C514" xr:uid="{00000000-0002-0000-0800-000003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800-000004000000}">
          <x14:formula1>
            <xm:f>'drop down list '!$A$3:$A$4</xm:f>
          </x14:formula1>
          <xm:sqref>L45:L514 R45:R514 R15:R29 L15:L29 D15:G29 D45:G514</xm:sqref>
        </x14:dataValidation>
        <x14:dataValidation type="list" allowBlank="1" showInputMessage="1" showErrorMessage="1" xr:uid="{00000000-0002-0000-0800-000005000000}">
          <x14:formula1>
            <xm:f>'drop down list '!$C$2:$C$4</xm:f>
          </x14:formula1>
          <xm:sqref>H15:H29 H45:H514</xm:sqref>
        </x14:dataValidation>
        <x14:dataValidation type="list" allowBlank="1" showInputMessage="1" showErrorMessage="1" xr:uid="{00000000-0002-0000-0800-000006000000}">
          <x14:formula1>
            <xm:f>'drop down list '!$A$21:$A$23</xm:f>
          </x14:formula1>
          <xm:sqref>Q15:Q29 Q45:Q514</xm:sqref>
        </x14:dataValidation>
        <x14:dataValidation type="list" allowBlank="1" showInputMessage="1" showErrorMessage="1" xr:uid="{00000000-0002-0000-0800-000007000000}">
          <x14:formula1>
            <xm:f>'drop down list '!$G$24:$G$29</xm:f>
          </x14:formula1>
          <xm:sqref>U15:U29 U45:U514</xm:sqref>
        </x14:dataValidation>
        <x14:dataValidation type="list" allowBlank="1" showInputMessage="1" showErrorMessage="1" xr:uid="{00000000-0002-0000-0800-000008000000}">
          <x14:formula1>
            <xm:f>'drop down list '!$G$14:$G$18</xm:f>
          </x14:formula1>
          <xm:sqref>V15:V29 V45:V514</xm:sqref>
        </x14:dataValidation>
        <x14:dataValidation type="list" allowBlank="1" showInputMessage="1" showErrorMessage="1" xr:uid="{00000000-0002-0000-0800-000009000000}">
          <x14:formula1>
            <xm:f>'drop down list '!$N$12:$N$23</xm:f>
          </x14:formula1>
          <xm:sqref>E9:F9</xm:sqref>
        </x14:dataValidation>
        <x14:dataValidation type="list" allowBlank="1" showInputMessage="1" showErrorMessage="1" xr:uid="{00000000-0002-0000-0800-00000A000000}">
          <x14:formula1>
            <xm:f>'drop down list '!$P$15:$P$20</xm:f>
          </x14:formula1>
          <xm:sqref>G9:I9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INSTRUCTIONS</vt:lpstr>
      <vt:lpstr>BUSINESS CONTACTS</vt:lpstr>
      <vt:lpstr>PRESENTATIONS</vt:lpstr>
      <vt:lpstr>CLIENT ENROLLMENT DISCHARGE </vt:lpstr>
      <vt:lpstr>JULY</vt:lpstr>
      <vt:lpstr>AUG</vt:lpstr>
      <vt:lpstr>SEPT</vt:lpstr>
      <vt:lpstr>OCT</vt:lpstr>
      <vt:lpstr>NOV</vt:lpstr>
      <vt:lpstr>DEC</vt:lpstr>
      <vt:lpstr>JAN</vt:lpstr>
      <vt:lpstr>FEB</vt:lpstr>
      <vt:lpstr>MAR</vt:lpstr>
      <vt:lpstr>APR</vt:lpstr>
      <vt:lpstr>MAY</vt:lpstr>
      <vt:lpstr>JUNE</vt:lpstr>
      <vt:lpstr>SUMMARY</vt:lpstr>
      <vt:lpstr>drop down list </vt:lpstr>
      <vt:lpstr>SUMMARY 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Belle1987</dc:creator>
  <cp:lastModifiedBy>Perry, Saundra K</cp:lastModifiedBy>
  <dcterms:created xsi:type="dcterms:W3CDTF">2020-08-24T23:51:38Z</dcterms:created>
  <dcterms:modified xsi:type="dcterms:W3CDTF">2025-09-05T17:45:52Z</dcterms:modified>
</cp:coreProperties>
</file>